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hmao062296-my.sharepoint.com/personal/officeuser08_hmao062296_onmicrosoft_com/Documents/JIM/コンテンツ/リポート/2.作成・更新中/B2408更新/1.社内校正/80151村上_開業収支シミュ_2408/"/>
    </mc:Choice>
  </mc:AlternateContent>
  <xr:revisionPtr revIDLastSave="7" documentId="8_{09BB0B85-962A-41FC-B751-967EC37976A2}" xr6:coauthVersionLast="47" xr6:coauthVersionMax="47" xr10:uidLastSave="{3A323B6F-C1B2-40F5-B277-31F959433273}"/>
  <bookViews>
    <workbookView xWindow="32580" yWindow="0" windowWidth="24480" windowHeight="15585" xr2:uid="{00000000-000D-0000-FFFF-FFFF00000000}"/>
  </bookViews>
  <sheets>
    <sheet name="収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7" i="1" l="1"/>
  <c r="B68" i="1" s="1"/>
  <c r="L42" i="1"/>
  <c r="M42" i="1"/>
  <c r="N42" i="1"/>
  <c r="L43" i="1"/>
  <c r="M43" i="1"/>
  <c r="N43" i="1"/>
  <c r="O43" i="1"/>
  <c r="L44" i="1"/>
  <c r="M44" i="1"/>
  <c r="N44" i="1"/>
  <c r="O44" i="1"/>
  <c r="L45" i="1"/>
  <c r="L50" i="1"/>
  <c r="L51" i="1"/>
  <c r="L53" i="1"/>
  <c r="L52" i="1"/>
  <c r="L54" i="1"/>
  <c r="L55" i="1"/>
  <c r="M55" i="1"/>
  <c r="N55" i="1"/>
  <c r="O55" i="1"/>
  <c r="P55" i="1"/>
  <c r="Q55" i="1"/>
  <c r="R55" i="1"/>
  <c r="S55" i="1"/>
  <c r="L56" i="1"/>
  <c r="L47" i="1"/>
  <c r="L46" i="1"/>
  <c r="M59" i="1"/>
  <c r="N59" i="1"/>
  <c r="O59" i="1"/>
  <c r="P59" i="1"/>
  <c r="L60" i="1"/>
  <c r="E65" i="1"/>
  <c r="E67" i="1"/>
  <c r="E68" i="1"/>
  <c r="E69" i="1"/>
  <c r="E70" i="1"/>
  <c r="F67" i="1"/>
  <c r="F68" i="1"/>
  <c r="L5" i="1"/>
  <c r="L40" i="1" s="1"/>
  <c r="L29" i="1" s="1"/>
  <c r="R20" i="1"/>
  <c r="Q20" i="1"/>
  <c r="P20" i="1"/>
  <c r="I14" i="1"/>
  <c r="F14" i="1"/>
  <c r="O42" i="1"/>
  <c r="P42" i="1"/>
  <c r="P44" i="1"/>
  <c r="Q44" i="1"/>
  <c r="R44" i="1"/>
  <c r="M51" i="1"/>
  <c r="N51" i="1"/>
  <c r="O51" i="1"/>
  <c r="P51" i="1"/>
  <c r="Q51" i="1"/>
  <c r="R51" i="1"/>
  <c r="S51" i="1"/>
  <c r="P43" i="1"/>
  <c r="Q43" i="1"/>
  <c r="R43"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M52" i="1"/>
  <c r="L61" i="1"/>
  <c r="M45" i="1"/>
  <c r="L8" i="1"/>
  <c r="Q42" i="1"/>
  <c r="L57" i="1"/>
  <c r="L32" i="1"/>
  <c r="L39" i="1"/>
  <c r="L31" i="1" s="1"/>
  <c r="L22" i="1" s="1"/>
  <c r="R42" i="1"/>
  <c r="M56" i="1"/>
  <c r="M53" i="1"/>
  <c r="N52" i="1"/>
  <c r="L19" i="1"/>
  <c r="N45" i="1"/>
  <c r="M60" i="1"/>
  <c r="N53" i="1"/>
  <c r="O52" i="1"/>
  <c r="L20" i="1"/>
  <c r="M61" i="1"/>
  <c r="O45" i="1"/>
  <c r="M47" i="1"/>
  <c r="M46" i="1"/>
  <c r="M57" i="1"/>
  <c r="N56" i="1"/>
  <c r="N47" i="1"/>
  <c r="N46" i="1"/>
  <c r="N8" i="1"/>
  <c r="O56" i="1"/>
  <c r="N57" i="1"/>
  <c r="M19" i="1"/>
  <c r="P45" i="1"/>
  <c r="O53" i="1"/>
  <c r="N19" i="1"/>
  <c r="M8" i="1"/>
  <c r="M32" i="1"/>
  <c r="N60" i="1"/>
  <c r="O47" i="1"/>
  <c r="O46" i="1"/>
  <c r="O8" i="1"/>
  <c r="O57" i="1"/>
  <c r="P56" i="1"/>
  <c r="Q45" i="1"/>
  <c r="N61" i="1"/>
  <c r="O60" i="1"/>
  <c r="M20" i="1"/>
  <c r="P52" i="1"/>
  <c r="N20" i="1"/>
  <c r="O61" i="1"/>
  <c r="R45" i="1"/>
  <c r="P57" i="1"/>
  <c r="Q56" i="1"/>
  <c r="P47" i="1"/>
  <c r="P46" i="1"/>
  <c r="P8" i="1"/>
  <c r="P53" i="1"/>
  <c r="O19" i="1"/>
  <c r="N32" i="1"/>
  <c r="Q57" i="1"/>
  <c r="Q47" i="1"/>
  <c r="Q46" i="1"/>
  <c r="R56" i="1"/>
  <c r="O32" i="1"/>
  <c r="P60" i="1"/>
  <c r="Q52" i="1"/>
  <c r="R57" i="1"/>
  <c r="R47" i="1"/>
  <c r="R46" i="1"/>
  <c r="S56" i="1"/>
  <c r="S57" i="1"/>
  <c r="P61" i="1"/>
  <c r="O20" i="1"/>
  <c r="Q53" i="1"/>
  <c r="Q32" i="1"/>
  <c r="R52" i="1"/>
  <c r="P19" i="1"/>
  <c r="P32" i="1"/>
  <c r="Q19" i="1"/>
  <c r="R53" i="1"/>
  <c r="R32" i="1"/>
  <c r="Q8" i="1"/>
  <c r="R8" i="1"/>
  <c r="S52" i="1"/>
  <c r="S53" i="1"/>
  <c r="R19" i="1"/>
  <c r="K68" i="1" l="1"/>
  <c r="O68" i="1"/>
  <c r="B69" i="1"/>
  <c r="J69" i="1"/>
  <c r="M5" i="1"/>
  <c r="L38" i="1"/>
  <c r="L6" i="1"/>
  <c r="O69" i="1" l="1"/>
  <c r="H69" i="1"/>
  <c r="B70" i="1"/>
  <c r="F69" i="1"/>
  <c r="P68" i="1"/>
  <c r="L7" i="1"/>
  <c r="L9" i="1" s="1"/>
  <c r="L30" i="1"/>
  <c r="U9" i="1"/>
  <c r="M38" i="1"/>
  <c r="M30" i="1" s="1"/>
  <c r="M40" i="1"/>
  <c r="M29" i="1" s="1"/>
  <c r="M39" i="1"/>
  <c r="M31" i="1" s="1"/>
  <c r="M22" i="1" s="1"/>
  <c r="V9" i="1"/>
  <c r="M6" i="1"/>
  <c r="N5" i="1"/>
  <c r="K69" i="1" l="1"/>
  <c r="O70" i="1"/>
  <c r="B71" i="1"/>
  <c r="I69" i="1"/>
  <c r="J70" i="1" s="1"/>
  <c r="M7" i="1"/>
  <c r="M9" i="1" s="1"/>
  <c r="N40" i="1"/>
  <c r="N29" i="1" s="1"/>
  <c r="N38" i="1"/>
  <c r="N30" i="1" s="1"/>
  <c r="N39" i="1"/>
  <c r="N31" i="1" s="1"/>
  <c r="N22" i="1" s="1"/>
  <c r="O5" i="1"/>
  <c r="N6" i="1"/>
  <c r="N7" i="1"/>
  <c r="N9" i="1" s="1"/>
  <c r="P69" i="1" l="1"/>
  <c r="H70" i="1"/>
  <c r="O71" i="1"/>
  <c r="B72" i="1"/>
  <c r="F70" i="1"/>
  <c r="O39" i="1"/>
  <c r="O31" i="1" s="1"/>
  <c r="O22" i="1" s="1"/>
  <c r="O6" i="1"/>
  <c r="O7" i="1" s="1"/>
  <c r="O9" i="1" s="1"/>
  <c r="O38" i="1"/>
  <c r="O30" i="1" s="1"/>
  <c r="P5" i="1"/>
  <c r="O40" i="1"/>
  <c r="O29" i="1" s="1"/>
  <c r="W9" i="1"/>
  <c r="I70" i="1" l="1"/>
  <c r="J71" i="1" s="1"/>
  <c r="F71" i="1"/>
  <c r="K70" i="1"/>
  <c r="O72" i="1"/>
  <c r="B73" i="1"/>
  <c r="Q5" i="1"/>
  <c r="P40" i="1"/>
  <c r="P29" i="1" s="1"/>
  <c r="P38" i="1"/>
  <c r="P30" i="1" s="1"/>
  <c r="P6" i="1"/>
  <c r="P39" i="1"/>
  <c r="P31" i="1" s="1"/>
  <c r="P22" i="1" s="1"/>
  <c r="Y9" i="1"/>
  <c r="X9" i="1"/>
  <c r="B74" i="1" l="1"/>
  <c r="O73" i="1"/>
  <c r="H71" i="1"/>
  <c r="K71" i="1"/>
  <c r="P70" i="1"/>
  <c r="P7" i="1"/>
  <c r="P9" i="1" s="1"/>
  <c r="Q40" i="1"/>
  <c r="Q29" i="1" s="1"/>
  <c r="R5" i="1"/>
  <c r="Q38" i="1"/>
  <c r="Q30" i="1" s="1"/>
  <c r="Z9" i="1"/>
  <c r="Q6" i="1"/>
  <c r="Q39" i="1"/>
  <c r="Q31" i="1" s="1"/>
  <c r="Q22" i="1" s="1"/>
  <c r="Q7" i="1"/>
  <c r="Q9" i="1" s="1"/>
  <c r="I71" i="1" l="1"/>
  <c r="J72" i="1" s="1"/>
  <c r="B75" i="1"/>
  <c r="O74" i="1"/>
  <c r="R6" i="1"/>
  <c r="R39" i="1"/>
  <c r="R31" i="1" s="1"/>
  <c r="R22" i="1" s="1"/>
  <c r="R38" i="1"/>
  <c r="R30" i="1" s="1"/>
  <c r="R40" i="1"/>
  <c r="R29" i="1" s="1"/>
  <c r="O75" i="1" l="1"/>
  <c r="B76" i="1"/>
  <c r="P71" i="1"/>
  <c r="F72" i="1"/>
  <c r="H72" i="1"/>
  <c r="AA9" i="1"/>
  <c r="R7" i="1"/>
  <c r="R9" i="1" s="1"/>
  <c r="O76" i="1" l="1"/>
  <c r="B77" i="1"/>
  <c r="H73" i="1"/>
  <c r="I72" i="1"/>
  <c r="J73" i="1" s="1"/>
  <c r="F73" i="1"/>
  <c r="K72" i="1"/>
  <c r="I73" i="1" l="1"/>
  <c r="J74" i="1" s="1"/>
  <c r="H74" i="1"/>
  <c r="K73" i="1"/>
  <c r="F74" i="1"/>
  <c r="P72" i="1"/>
  <c r="O77" i="1"/>
  <c r="B78" i="1"/>
  <c r="O78" i="1" l="1"/>
  <c r="B79" i="1"/>
  <c r="I74" i="1"/>
  <c r="J75" i="1" s="1"/>
  <c r="H75" i="1"/>
  <c r="K74" i="1"/>
  <c r="F75" i="1"/>
  <c r="P73" i="1"/>
  <c r="I75" i="1" l="1"/>
  <c r="J76" i="1" s="1"/>
  <c r="H76" i="1"/>
  <c r="O79" i="1"/>
  <c r="B80" i="1"/>
  <c r="K75" i="1"/>
  <c r="F76" i="1"/>
  <c r="P74" i="1"/>
  <c r="K76" i="1" l="1"/>
  <c r="I76" i="1"/>
  <c r="J77" i="1" s="1"/>
  <c r="P76" i="1" s="1"/>
  <c r="O80" i="1"/>
  <c r="B81" i="1"/>
  <c r="P75" i="1"/>
  <c r="O81" i="1" l="1"/>
  <c r="B82" i="1"/>
  <c r="H77" i="1"/>
  <c r="F77" i="1"/>
  <c r="K77" i="1" l="1"/>
  <c r="B83" i="1"/>
  <c r="O82" i="1"/>
  <c r="I77" i="1"/>
  <c r="J78" i="1" s="1"/>
  <c r="P77" i="1" s="1"/>
  <c r="H78" i="1" l="1"/>
  <c r="B84" i="1"/>
  <c r="O83" i="1"/>
  <c r="F78" i="1"/>
  <c r="K78" i="1" l="1"/>
  <c r="O84" i="1"/>
  <c r="B85" i="1"/>
  <c r="I78" i="1"/>
  <c r="J79" i="1" s="1"/>
  <c r="P78" i="1" s="1"/>
  <c r="H79" i="1"/>
  <c r="I79" i="1" l="1"/>
  <c r="J80" i="1" s="1"/>
  <c r="H80" i="1"/>
  <c r="B86" i="1"/>
  <c r="O85" i="1"/>
  <c r="F79" i="1"/>
  <c r="F80" i="1" l="1"/>
  <c r="K79" i="1"/>
  <c r="M79" i="1" s="1"/>
  <c r="L63" i="1" s="1"/>
  <c r="L10" i="1" s="1"/>
  <c r="B87" i="1"/>
  <c r="O86" i="1"/>
  <c r="I80" i="1"/>
  <c r="J81" i="1" s="1"/>
  <c r="H81" i="1"/>
  <c r="P79" i="1"/>
  <c r="L79" i="1"/>
  <c r="L64" i="1" s="1"/>
  <c r="B88" i="1" l="1"/>
  <c r="O87" i="1"/>
  <c r="L33" i="1"/>
  <c r="L23" i="1"/>
  <c r="I81" i="1"/>
  <c r="J82" i="1" s="1"/>
  <c r="H82" i="1"/>
  <c r="L12" i="1"/>
  <c r="L37" i="1"/>
  <c r="L15" i="1" s="1"/>
  <c r="L11" i="1"/>
  <c r="U7" i="1" s="1"/>
  <c r="K80" i="1"/>
  <c r="F81" i="1"/>
  <c r="P80" i="1" l="1"/>
  <c r="L13" i="1"/>
  <c r="L14" i="1" s="1"/>
  <c r="K81" i="1"/>
  <c r="F82" i="1"/>
  <c r="I82" i="1"/>
  <c r="J83" i="1" s="1"/>
  <c r="B89" i="1"/>
  <c r="O88" i="1"/>
  <c r="L24" i="1" l="1"/>
  <c r="L28" i="1"/>
  <c r="L34" i="1" s="1"/>
  <c r="L35" i="1" s="1"/>
  <c r="L18" i="1" s="1"/>
  <c r="U5" i="1"/>
  <c r="O89" i="1"/>
  <c r="B90" i="1"/>
  <c r="H83" i="1"/>
  <c r="F83" i="1"/>
  <c r="K82" i="1"/>
  <c r="P81" i="1"/>
  <c r="K83" i="1" l="1"/>
  <c r="P82" i="1"/>
  <c r="I83" i="1"/>
  <c r="J84" i="1" s="1"/>
  <c r="L21" i="1"/>
  <c r="U26" i="1"/>
  <c r="O90" i="1"/>
  <c r="B91" i="1"/>
  <c r="U28" i="1"/>
  <c r="L25" i="1"/>
  <c r="U27" i="1" s="1"/>
  <c r="P83" i="1" l="1"/>
  <c r="F84" i="1"/>
  <c r="U8" i="1"/>
  <c r="U6" i="1"/>
  <c r="O91" i="1"/>
  <c r="B92" i="1"/>
  <c r="H84" i="1"/>
  <c r="I84" i="1" l="1"/>
  <c r="J85" i="1" s="1"/>
  <c r="H85" i="1"/>
  <c r="O92" i="1"/>
  <c r="B93" i="1"/>
  <c r="F85" i="1"/>
  <c r="K84" i="1"/>
  <c r="K85" i="1" l="1"/>
  <c r="B94" i="1"/>
  <c r="O93" i="1"/>
  <c r="I85" i="1"/>
  <c r="J86" i="1" s="1"/>
  <c r="P85" i="1" s="1"/>
  <c r="P84" i="1"/>
  <c r="O94" i="1" l="1"/>
  <c r="B95" i="1"/>
  <c r="F86" i="1"/>
  <c r="H86" i="1"/>
  <c r="I86" i="1" l="1"/>
  <c r="J87" i="1" s="1"/>
  <c r="H87" i="1"/>
  <c r="K86" i="1"/>
  <c r="F87" i="1"/>
  <c r="B96" i="1"/>
  <c r="O95" i="1"/>
  <c r="K87" i="1" l="1"/>
  <c r="I87" i="1"/>
  <c r="J88" i="1" s="1"/>
  <c r="P87" i="1" s="1"/>
  <c r="H88" i="1"/>
  <c r="B97" i="1"/>
  <c r="O96" i="1"/>
  <c r="P86" i="1"/>
  <c r="B98" i="1" l="1"/>
  <c r="O97" i="1"/>
  <c r="I88" i="1"/>
  <c r="J89" i="1" s="1"/>
  <c r="F88" i="1"/>
  <c r="F89" i="1" l="1"/>
  <c r="K88" i="1"/>
  <c r="P88" i="1" s="1"/>
  <c r="H89" i="1"/>
  <c r="B99" i="1"/>
  <c r="O98" i="1"/>
  <c r="I89" i="1" l="1"/>
  <c r="J90" i="1" s="1"/>
  <c r="H90" i="1"/>
  <c r="B100" i="1"/>
  <c r="O99" i="1"/>
  <c r="K89" i="1"/>
  <c r="F90" i="1"/>
  <c r="I90" i="1" l="1"/>
  <c r="J91" i="1" s="1"/>
  <c r="F91" i="1"/>
  <c r="K90" i="1"/>
  <c r="B101" i="1"/>
  <c r="O100" i="1"/>
  <c r="P89" i="1"/>
  <c r="O101" i="1" l="1"/>
  <c r="B102" i="1"/>
  <c r="K91" i="1"/>
  <c r="M91" i="1" s="1"/>
  <c r="M63" i="1" s="1"/>
  <c r="M10" i="1" s="1"/>
  <c r="P90" i="1"/>
  <c r="H91" i="1"/>
  <c r="M12" i="1" l="1"/>
  <c r="M13" i="1" s="1"/>
  <c r="M14" i="1" s="1"/>
  <c r="M37" i="1"/>
  <c r="M15" i="1" s="1"/>
  <c r="M11" i="1"/>
  <c r="V7" i="1" s="1"/>
  <c r="I91" i="1"/>
  <c r="J92" i="1" s="1"/>
  <c r="O102" i="1"/>
  <c r="B103" i="1"/>
  <c r="B104" i="1" l="1"/>
  <c r="O103" i="1"/>
  <c r="P91" i="1"/>
  <c r="L91" i="1"/>
  <c r="M64" i="1" s="1"/>
  <c r="F92" i="1"/>
  <c r="H92" i="1"/>
  <c r="M28" i="1"/>
  <c r="M24" i="1"/>
  <c r="V28" i="1" l="1"/>
  <c r="V5" i="1"/>
  <c r="I92" i="1"/>
  <c r="J93" i="1" s="1"/>
  <c r="H93" i="1"/>
  <c r="F93" i="1"/>
  <c r="K92" i="1"/>
  <c r="M33" i="1"/>
  <c r="M34" i="1" s="1"/>
  <c r="M35" i="1" s="1"/>
  <c r="M23" i="1"/>
  <c r="O104" i="1"/>
  <c r="B105" i="1"/>
  <c r="M18" i="1" l="1"/>
  <c r="B106" i="1"/>
  <c r="O105" i="1"/>
  <c r="K93" i="1"/>
  <c r="P92" i="1"/>
  <c r="M25" i="1"/>
  <c r="I93" i="1"/>
  <c r="J94" i="1" s="1"/>
  <c r="P93" i="1" s="1"/>
  <c r="H94" i="1" l="1"/>
  <c r="V8" i="1"/>
  <c r="V6" i="1"/>
  <c r="V27" i="1"/>
  <c r="F94" i="1"/>
  <c r="B107" i="1"/>
  <c r="O106" i="1"/>
  <c r="V26" i="1"/>
  <c r="M21" i="1"/>
  <c r="B108" i="1" l="1"/>
  <c r="O107" i="1"/>
  <c r="K94" i="1"/>
  <c r="I94" i="1"/>
  <c r="J95" i="1" s="1"/>
  <c r="P94" i="1" l="1"/>
  <c r="F95" i="1"/>
  <c r="H95" i="1"/>
  <c r="B109" i="1"/>
  <c r="O108" i="1"/>
  <c r="O109" i="1" l="1"/>
  <c r="B110" i="1"/>
  <c r="I95" i="1"/>
  <c r="J96" i="1" s="1"/>
  <c r="H96" i="1"/>
  <c r="F96" i="1"/>
  <c r="K95" i="1"/>
  <c r="I96" i="1" l="1"/>
  <c r="J97" i="1" s="1"/>
  <c r="H97" i="1"/>
  <c r="B111" i="1"/>
  <c r="O110" i="1"/>
  <c r="F97" i="1"/>
  <c r="K96" i="1"/>
  <c r="P95" i="1"/>
  <c r="P96" i="1" l="1"/>
  <c r="K97" i="1"/>
  <c r="B112" i="1"/>
  <c r="O111" i="1"/>
  <c r="I97" i="1"/>
  <c r="J98" i="1" s="1"/>
  <c r="P97" i="1" l="1"/>
  <c r="H98" i="1"/>
  <c r="B113" i="1"/>
  <c r="O112" i="1"/>
  <c r="F98" i="1"/>
  <c r="K98" i="1" l="1"/>
  <c r="B114" i="1"/>
  <c r="O113" i="1"/>
  <c r="I98" i="1"/>
  <c r="J99" i="1" s="1"/>
  <c r="P98" i="1" s="1"/>
  <c r="H99" i="1" l="1"/>
  <c r="B115" i="1"/>
  <c r="O114" i="1"/>
  <c r="F99" i="1"/>
  <c r="K99" i="1" l="1"/>
  <c r="O115" i="1"/>
  <c r="B116" i="1"/>
  <c r="I99" i="1"/>
  <c r="J100" i="1" s="1"/>
  <c r="P99" i="1" s="1"/>
  <c r="H100" i="1"/>
  <c r="H101" i="1" l="1"/>
  <c r="I100" i="1"/>
  <c r="J101" i="1" s="1"/>
  <c r="O116" i="1"/>
  <c r="B117" i="1"/>
  <c r="F100" i="1"/>
  <c r="F101" i="1" l="1"/>
  <c r="K100" i="1"/>
  <c r="P100" i="1"/>
  <c r="B118" i="1"/>
  <c r="O117" i="1"/>
  <c r="I101" i="1"/>
  <c r="J102" i="1" s="1"/>
  <c r="H102" i="1"/>
  <c r="I102" i="1" l="1"/>
  <c r="J103" i="1" s="1"/>
  <c r="O118" i="1"/>
  <c r="B119" i="1"/>
  <c r="F102" i="1"/>
  <c r="K101" i="1"/>
  <c r="P101" i="1" s="1"/>
  <c r="F103" i="1" l="1"/>
  <c r="K102" i="1"/>
  <c r="B120" i="1"/>
  <c r="O119" i="1"/>
  <c r="P102" i="1"/>
  <c r="H103" i="1"/>
  <c r="B121" i="1" l="1"/>
  <c r="O120" i="1"/>
  <c r="I103" i="1"/>
  <c r="J104" i="1" s="1"/>
  <c r="H104" i="1"/>
  <c r="K103" i="1"/>
  <c r="M103" i="1" s="1"/>
  <c r="N63" i="1" s="1"/>
  <c r="N10" i="1" s="1"/>
  <c r="F104" i="1"/>
  <c r="K104" i="1" l="1"/>
  <c r="I104" i="1"/>
  <c r="J105" i="1" s="1"/>
  <c r="H105" i="1"/>
  <c r="P103" i="1"/>
  <c r="L103" i="1"/>
  <c r="N64" i="1" s="1"/>
  <c r="N37" i="1"/>
  <c r="N15" i="1" s="1"/>
  <c r="N11" i="1"/>
  <c r="W7" i="1" s="1"/>
  <c r="N12" i="1"/>
  <c r="N13" i="1" s="1"/>
  <c r="N14" i="1" s="1"/>
  <c r="O121" i="1"/>
  <c r="B122" i="1"/>
  <c r="B123" i="1" l="1"/>
  <c r="O122" i="1"/>
  <c r="N28" i="1"/>
  <c r="N24" i="1"/>
  <c r="N33" i="1"/>
  <c r="N23" i="1"/>
  <c r="I105" i="1"/>
  <c r="J106" i="1" s="1"/>
  <c r="H106" i="1"/>
  <c r="P104" i="1"/>
  <c r="F105" i="1"/>
  <c r="I106" i="1" l="1"/>
  <c r="J107" i="1" s="1"/>
  <c r="K105" i="1"/>
  <c r="F106" i="1"/>
  <c r="P105" i="1"/>
  <c r="N25" i="1"/>
  <c r="W28" i="1"/>
  <c r="W5" i="1"/>
  <c r="N34" i="1"/>
  <c r="N35" i="1" s="1"/>
  <c r="O123" i="1"/>
  <c r="B124" i="1"/>
  <c r="W27" i="1" l="1"/>
  <c r="W8" i="1"/>
  <c r="W6" i="1"/>
  <c r="O124" i="1"/>
  <c r="B125" i="1"/>
  <c r="N18" i="1"/>
  <c r="F107" i="1"/>
  <c r="K106" i="1"/>
  <c r="H107" i="1"/>
  <c r="I107" i="1" l="1"/>
  <c r="J108" i="1" s="1"/>
  <c r="F108" i="1" s="1"/>
  <c r="P106" i="1"/>
  <c r="K107" i="1"/>
  <c r="W26" i="1"/>
  <c r="N21" i="1"/>
  <c r="O125" i="1"/>
  <c r="B126" i="1"/>
  <c r="K108" i="1" l="1"/>
  <c r="H108" i="1"/>
  <c r="P107" i="1"/>
  <c r="O126" i="1"/>
  <c r="B127" i="1"/>
  <c r="B128" i="1" l="1"/>
  <c r="O127" i="1"/>
  <c r="I108" i="1"/>
  <c r="J109" i="1" s="1"/>
  <c r="P108" i="1" l="1"/>
  <c r="F109" i="1"/>
  <c r="H109" i="1"/>
  <c r="O128" i="1"/>
  <c r="B129" i="1"/>
  <c r="O129" i="1" l="1"/>
  <c r="B130" i="1"/>
  <c r="I109" i="1"/>
  <c r="J110" i="1" s="1"/>
  <c r="H110" i="1"/>
  <c r="K109" i="1"/>
  <c r="F110" i="1"/>
  <c r="K110" i="1" l="1"/>
  <c r="I110" i="1"/>
  <c r="J111" i="1" s="1"/>
  <c r="P110" i="1" s="1"/>
  <c r="P109" i="1"/>
  <c r="O130" i="1"/>
  <c r="B131" i="1"/>
  <c r="O131" i="1" l="1"/>
  <c r="B132" i="1"/>
  <c r="H111" i="1"/>
  <c r="F111" i="1"/>
  <c r="K111" i="1" l="1"/>
  <c r="I111" i="1"/>
  <c r="J112" i="1" s="1"/>
  <c r="P111" i="1" s="1"/>
  <c r="H112" i="1"/>
  <c r="B133" i="1"/>
  <c r="O132" i="1"/>
  <c r="O133" i="1" l="1"/>
  <c r="B134" i="1"/>
  <c r="I112" i="1"/>
  <c r="J113" i="1" s="1"/>
  <c r="F112" i="1"/>
  <c r="F113" i="1" l="1"/>
  <c r="K112" i="1"/>
  <c r="H113" i="1"/>
  <c r="P112" i="1"/>
  <c r="O134" i="1"/>
  <c r="B135" i="1"/>
  <c r="O135" i="1" l="1"/>
  <c r="B136" i="1"/>
  <c r="I113" i="1"/>
  <c r="J114" i="1" s="1"/>
  <c r="H114" i="1"/>
  <c r="K113" i="1"/>
  <c r="F114" i="1"/>
  <c r="I114" i="1" l="1"/>
  <c r="J115" i="1" s="1"/>
  <c r="B137" i="1"/>
  <c r="O136" i="1"/>
  <c r="K114" i="1"/>
  <c r="F115" i="1"/>
  <c r="P113" i="1"/>
  <c r="K115" i="1" l="1"/>
  <c r="M115" i="1" s="1"/>
  <c r="O63" i="1" s="1"/>
  <c r="O10" i="1" s="1"/>
  <c r="O137" i="1"/>
  <c r="B138" i="1"/>
  <c r="H115" i="1"/>
  <c r="P114" i="1"/>
  <c r="I115" i="1" l="1"/>
  <c r="J116" i="1" s="1"/>
  <c r="H116" i="1"/>
  <c r="O138" i="1"/>
  <c r="B139" i="1"/>
  <c r="O37" i="1"/>
  <c r="O15" i="1" s="1"/>
  <c r="O12" i="1"/>
  <c r="O13" i="1" s="1"/>
  <c r="O14" i="1" s="1"/>
  <c r="O11" i="1"/>
  <c r="X7" i="1" s="1"/>
  <c r="O28" i="1" l="1"/>
  <c r="O24" i="1"/>
  <c r="O139" i="1"/>
  <c r="B140" i="1"/>
  <c r="I116" i="1"/>
  <c r="J117" i="1" s="1"/>
  <c r="P115" i="1"/>
  <c r="L115" i="1"/>
  <c r="O64" i="1" s="1"/>
  <c r="F116" i="1"/>
  <c r="F117" i="1" l="1"/>
  <c r="K116" i="1"/>
  <c r="O140" i="1"/>
  <c r="B141" i="1"/>
  <c r="O33" i="1"/>
  <c r="O23" i="1"/>
  <c r="P116" i="1"/>
  <c r="H117" i="1"/>
  <c r="X5" i="1"/>
  <c r="X28" i="1"/>
  <c r="O34" i="1"/>
  <c r="O35" i="1" s="1"/>
  <c r="B142" i="1" l="1"/>
  <c r="O141" i="1"/>
  <c r="O18" i="1"/>
  <c r="I117" i="1"/>
  <c r="J118" i="1" s="1"/>
  <c r="H118" i="1"/>
  <c r="O25" i="1"/>
  <c r="K117" i="1"/>
  <c r="F118" i="1"/>
  <c r="X8" i="1" l="1"/>
  <c r="X6" i="1"/>
  <c r="X27" i="1"/>
  <c r="I118" i="1"/>
  <c r="J119" i="1" s="1"/>
  <c r="O21" i="1"/>
  <c r="X26" i="1"/>
  <c r="F119" i="1"/>
  <c r="K118" i="1"/>
  <c r="P117" i="1"/>
  <c r="B143" i="1"/>
  <c r="O142" i="1"/>
  <c r="H119" i="1" l="1"/>
  <c r="K119" i="1"/>
  <c r="B144" i="1"/>
  <c r="O143" i="1"/>
  <c r="P118" i="1"/>
  <c r="O144" i="1" l="1"/>
  <c r="B145" i="1"/>
  <c r="I119" i="1"/>
  <c r="J120" i="1" s="1"/>
  <c r="H120" i="1"/>
  <c r="P119" i="1" l="1"/>
  <c r="F120" i="1"/>
  <c r="O145" i="1"/>
  <c r="B146" i="1"/>
  <c r="I120" i="1"/>
  <c r="J121" i="1" s="1"/>
  <c r="F121" i="1" l="1"/>
  <c r="K120" i="1"/>
  <c r="P120" i="1" s="1"/>
  <c r="H121" i="1"/>
  <c r="B147" i="1"/>
  <c r="O146" i="1"/>
  <c r="O147" i="1" l="1"/>
  <c r="B148" i="1"/>
  <c r="I121" i="1"/>
  <c r="J122" i="1" s="1"/>
  <c r="H122" i="1"/>
  <c r="F122" i="1"/>
  <c r="K121" i="1"/>
  <c r="I122" i="1" l="1"/>
  <c r="J123" i="1" s="1"/>
  <c r="P121" i="1"/>
  <c r="O148" i="1"/>
  <c r="B149" i="1"/>
  <c r="K122" i="1"/>
  <c r="F123" i="1"/>
  <c r="B150" i="1" l="1"/>
  <c r="O149" i="1"/>
  <c r="P122" i="1"/>
  <c r="K123" i="1"/>
  <c r="H123" i="1"/>
  <c r="I123" i="1" l="1"/>
  <c r="J124" i="1" s="1"/>
  <c r="H124" i="1"/>
  <c r="O150" i="1"/>
  <c r="B151" i="1"/>
  <c r="B152" i="1" l="1"/>
  <c r="O151" i="1"/>
  <c r="I124" i="1"/>
  <c r="J125" i="1" s="1"/>
  <c r="P123" i="1"/>
  <c r="F124" i="1"/>
  <c r="K124" i="1" l="1"/>
  <c r="P124" i="1" s="1"/>
  <c r="F125" i="1"/>
  <c r="H125" i="1"/>
  <c r="O152" i="1"/>
  <c r="B153" i="1"/>
  <c r="K125" i="1" l="1"/>
  <c r="B154" i="1"/>
  <c r="O153" i="1"/>
  <c r="I125" i="1"/>
  <c r="J126" i="1" s="1"/>
  <c r="P125" i="1" s="1"/>
  <c r="H126" i="1" l="1"/>
  <c r="B155" i="1"/>
  <c r="O154" i="1"/>
  <c r="F126" i="1"/>
  <c r="K126" i="1" l="1"/>
  <c r="B156" i="1"/>
  <c r="O155" i="1"/>
  <c r="I126" i="1"/>
  <c r="J127" i="1" s="1"/>
  <c r="P126" i="1" s="1"/>
  <c r="H127" i="1"/>
  <c r="I127" i="1" l="1"/>
  <c r="J128" i="1" s="1"/>
  <c r="H128" i="1"/>
  <c r="B157" i="1"/>
  <c r="O156" i="1"/>
  <c r="F127" i="1"/>
  <c r="F128" i="1" l="1"/>
  <c r="K127" i="1"/>
  <c r="M127" i="1" s="1"/>
  <c r="P63" i="1" s="1"/>
  <c r="P10" i="1" s="1"/>
  <c r="O157" i="1"/>
  <c r="B158" i="1"/>
  <c r="I128" i="1"/>
  <c r="J129" i="1" s="1"/>
  <c r="H129" i="1"/>
  <c r="P127" i="1"/>
  <c r="L127" i="1"/>
  <c r="P64" i="1" s="1"/>
  <c r="I129" i="1" l="1"/>
  <c r="J130" i="1" s="1"/>
  <c r="P33" i="1"/>
  <c r="P23" i="1"/>
  <c r="O158" i="1"/>
  <c r="B159" i="1"/>
  <c r="P12" i="1"/>
  <c r="P13" i="1" s="1"/>
  <c r="P14" i="1" s="1"/>
  <c r="P37" i="1"/>
  <c r="P15" i="1" s="1"/>
  <c r="P11" i="1"/>
  <c r="Y7" i="1" s="1"/>
  <c r="K128" i="1"/>
  <c r="P128" i="1" s="1"/>
  <c r="F129" i="1"/>
  <c r="P28" i="1" l="1"/>
  <c r="P34" i="1" s="1"/>
  <c r="P35" i="1" s="1"/>
  <c r="P18" i="1" s="1"/>
  <c r="P24" i="1"/>
  <c r="F130" i="1"/>
  <c r="K129" i="1"/>
  <c r="O159" i="1"/>
  <c r="B160" i="1"/>
  <c r="P25" i="1"/>
  <c r="P129" i="1"/>
  <c r="H130" i="1"/>
  <c r="Y27" i="1" l="1"/>
  <c r="Y8" i="1"/>
  <c r="Y6" i="1"/>
  <c r="I130" i="1"/>
  <c r="J131" i="1" s="1"/>
  <c r="H131" i="1"/>
  <c r="O160" i="1"/>
  <c r="B161" i="1"/>
  <c r="F131" i="1"/>
  <c r="K130" i="1"/>
  <c r="Y28" i="1"/>
  <c r="Y5" i="1"/>
  <c r="P21" i="1"/>
  <c r="Y26" i="1"/>
  <c r="K131" i="1" l="1"/>
  <c r="O161" i="1"/>
  <c r="B162" i="1"/>
  <c r="I131" i="1"/>
  <c r="J132" i="1" s="1"/>
  <c r="P131" i="1" s="1"/>
  <c r="H132" i="1"/>
  <c r="P130" i="1"/>
  <c r="I132" i="1" l="1"/>
  <c r="J133" i="1" s="1"/>
  <c r="O162" i="1"/>
  <c r="B163" i="1"/>
  <c r="F132" i="1"/>
  <c r="H133" i="1" l="1"/>
  <c r="K132" i="1"/>
  <c r="F133" i="1"/>
  <c r="P132" i="1"/>
  <c r="B164" i="1"/>
  <c r="O163" i="1"/>
  <c r="O164" i="1" l="1"/>
  <c r="B165" i="1"/>
  <c r="K133" i="1"/>
  <c r="I133" i="1"/>
  <c r="J134" i="1" s="1"/>
  <c r="H134" i="1"/>
  <c r="I134" i="1" l="1"/>
  <c r="J135" i="1" s="1"/>
  <c r="P133" i="1"/>
  <c r="F134" i="1"/>
  <c r="B166" i="1"/>
  <c r="O165" i="1"/>
  <c r="O166" i="1" l="1"/>
  <c r="B167" i="1"/>
  <c r="F135" i="1"/>
  <c r="K134" i="1"/>
  <c r="P134" i="1"/>
  <c r="H135" i="1"/>
  <c r="I135" i="1" l="1"/>
  <c r="J136" i="1" s="1"/>
  <c r="F136" i="1" s="1"/>
  <c r="K135" i="1"/>
  <c r="O167" i="1"/>
  <c r="B168" i="1"/>
  <c r="O168" i="1" s="1"/>
  <c r="K136" i="1" l="1"/>
  <c r="H136" i="1"/>
  <c r="P135" i="1"/>
  <c r="I136" i="1" l="1"/>
  <c r="J137" i="1" s="1"/>
  <c r="H137" i="1"/>
  <c r="I137" i="1" l="1"/>
  <c r="J138" i="1" s="1"/>
  <c r="P136" i="1"/>
  <c r="F137" i="1"/>
  <c r="K137" i="1" l="1"/>
  <c r="F138" i="1"/>
  <c r="P137" i="1"/>
  <c r="H138" i="1"/>
  <c r="I138" i="1" l="1"/>
  <c r="J139" i="1" s="1"/>
  <c r="H139" i="1"/>
  <c r="K138" i="1"/>
  <c r="F139" i="1"/>
  <c r="K139" i="1" l="1"/>
  <c r="M139" i="1" s="1"/>
  <c r="Q63" i="1" s="1"/>
  <c r="Q10" i="1" s="1"/>
  <c r="I139" i="1"/>
  <c r="J140" i="1" s="1"/>
  <c r="P138" i="1"/>
  <c r="P139" i="1" l="1"/>
  <c r="L139" i="1"/>
  <c r="Q64" i="1" s="1"/>
  <c r="H140" i="1"/>
  <c r="Q11" i="1"/>
  <c r="Z7" i="1" s="1"/>
  <c r="Q37" i="1"/>
  <c r="Q15" i="1" s="1"/>
  <c r="Q12" i="1"/>
  <c r="Q13" i="1" s="1"/>
  <c r="Q14" i="1" s="1"/>
  <c r="F140" i="1"/>
  <c r="K140" i="1" l="1"/>
  <c r="Q28" i="1"/>
  <c r="Q24" i="1"/>
  <c r="I140" i="1"/>
  <c r="J141" i="1" s="1"/>
  <c r="Q33" i="1"/>
  <c r="Q23" i="1"/>
  <c r="P140" i="1" l="1"/>
  <c r="Q25" i="1"/>
  <c r="H141" i="1"/>
  <c r="Z5" i="1"/>
  <c r="Z28" i="1"/>
  <c r="Q34" i="1"/>
  <c r="Q35" i="1" s="1"/>
  <c r="F141" i="1"/>
  <c r="Q18" i="1" l="1"/>
  <c r="K141" i="1"/>
  <c r="I141" i="1"/>
  <c r="J142" i="1" s="1"/>
  <c r="Z27" i="1"/>
  <c r="Z8" i="1"/>
  <c r="Z6" i="1"/>
  <c r="H142" i="1" l="1"/>
  <c r="P141" i="1"/>
  <c r="F142" i="1"/>
  <c r="Z26" i="1"/>
  <c r="Q21" i="1"/>
  <c r="K142" i="1" l="1"/>
  <c r="I142" i="1"/>
  <c r="J143" i="1" s="1"/>
  <c r="H143" i="1"/>
  <c r="P142" i="1" l="1"/>
  <c r="F143" i="1"/>
  <c r="I143" i="1"/>
  <c r="J144" i="1" s="1"/>
  <c r="H144" i="1"/>
  <c r="I144" i="1" l="1"/>
  <c r="J145" i="1" s="1"/>
  <c r="F144" i="1"/>
  <c r="K143" i="1"/>
  <c r="P143" i="1" s="1"/>
  <c r="K144" i="1" l="1"/>
  <c r="F145" i="1"/>
  <c r="P144" i="1"/>
  <c r="H145" i="1"/>
  <c r="I145" i="1" l="1"/>
  <c r="J146" i="1" s="1"/>
  <c r="H146" i="1"/>
  <c r="K145" i="1"/>
  <c r="F146" i="1"/>
  <c r="K146" i="1" l="1"/>
  <c r="I146" i="1"/>
  <c r="J147" i="1" s="1"/>
  <c r="P146" i="1" s="1"/>
  <c r="H147" i="1"/>
  <c r="P145" i="1"/>
  <c r="I147" i="1" l="1"/>
  <c r="J148" i="1" s="1"/>
  <c r="H148" i="1"/>
  <c r="F147" i="1"/>
  <c r="K147" i="1" l="1"/>
  <c r="F148" i="1"/>
  <c r="I148" i="1"/>
  <c r="J149" i="1" s="1"/>
  <c r="H149" i="1"/>
  <c r="P147" i="1"/>
  <c r="I149" i="1" l="1"/>
  <c r="J150" i="1" s="1"/>
  <c r="K148" i="1"/>
  <c r="P148" i="1" s="1"/>
  <c r="F149" i="1"/>
  <c r="F150" i="1" l="1"/>
  <c r="K149" i="1"/>
  <c r="P149" i="1"/>
  <c r="H150" i="1"/>
  <c r="I150" i="1" l="1"/>
  <c r="J151" i="1" s="1"/>
  <c r="H151" i="1"/>
  <c r="K150" i="1"/>
  <c r="F151" i="1"/>
  <c r="K151" i="1" l="1"/>
  <c r="M151" i="1" s="1"/>
  <c r="R63" i="1" s="1"/>
  <c r="R10" i="1" s="1"/>
  <c r="I151" i="1"/>
  <c r="J152" i="1" s="1"/>
  <c r="P150" i="1"/>
  <c r="P151" i="1" l="1"/>
  <c r="L151" i="1"/>
  <c r="R64" i="1" s="1"/>
  <c r="H152" i="1"/>
  <c r="R37" i="1"/>
  <c r="R15" i="1" s="1"/>
  <c r="R12" i="1"/>
  <c r="R13" i="1" s="1"/>
  <c r="R14" i="1" s="1"/>
  <c r="R11" i="1"/>
  <c r="AA7" i="1" s="1"/>
  <c r="F152" i="1"/>
  <c r="K152" i="1" l="1"/>
  <c r="R28" i="1"/>
  <c r="R24" i="1"/>
  <c r="I152" i="1"/>
  <c r="J153" i="1" s="1"/>
  <c r="H153" i="1"/>
  <c r="R33" i="1"/>
  <c r="R23" i="1"/>
  <c r="R25" i="1" s="1"/>
  <c r="AA6" i="1" s="1"/>
  <c r="AA27" i="1" l="1"/>
  <c r="AA8" i="1"/>
  <c r="I153" i="1"/>
  <c r="J154" i="1" s="1"/>
  <c r="P152" i="1"/>
  <c r="AA5" i="1"/>
  <c r="AA28" i="1"/>
  <c r="R34" i="1"/>
  <c r="R35" i="1" s="1"/>
  <c r="R18" i="1" s="1"/>
  <c r="F153" i="1"/>
  <c r="R21" i="1" l="1"/>
  <c r="AA26" i="1"/>
  <c r="F154" i="1"/>
  <c r="K153" i="1"/>
  <c r="P153" i="1"/>
  <c r="H154" i="1"/>
  <c r="I154" i="1" l="1"/>
  <c r="J155" i="1" s="1"/>
  <c r="H155" i="1"/>
  <c r="K154" i="1"/>
  <c r="F155" i="1"/>
  <c r="K155" i="1" l="1"/>
  <c r="I155" i="1"/>
  <c r="J156" i="1" s="1"/>
  <c r="P155" i="1" s="1"/>
  <c r="H156" i="1"/>
  <c r="P154" i="1"/>
  <c r="F156" i="1" l="1"/>
  <c r="I156" i="1"/>
  <c r="J157" i="1" s="1"/>
  <c r="H157" i="1" l="1"/>
  <c r="K156" i="1"/>
  <c r="P156" i="1" s="1"/>
  <c r="F157" i="1"/>
  <c r="K157" i="1" l="1"/>
  <c r="I157" i="1"/>
  <c r="J158" i="1" s="1"/>
  <c r="H158" i="1"/>
  <c r="I158" i="1" l="1"/>
  <c r="J159" i="1" s="1"/>
  <c r="P157" i="1"/>
  <c r="F158" i="1"/>
  <c r="K158" i="1" l="1"/>
  <c r="F159" i="1"/>
  <c r="P158" i="1"/>
  <c r="H159" i="1"/>
  <c r="I159" i="1" l="1"/>
  <c r="J160" i="1" s="1"/>
  <c r="K159" i="1"/>
  <c r="P159" i="1" l="1"/>
  <c r="F160" i="1"/>
  <c r="H160" i="1"/>
  <c r="I160" i="1" l="1"/>
  <c r="J161" i="1" s="1"/>
  <c r="H161" i="1"/>
  <c r="F161" i="1"/>
  <c r="K160" i="1"/>
  <c r="K161" i="1" l="1"/>
  <c r="I161" i="1"/>
  <c r="J162" i="1" s="1"/>
  <c r="P161" i="1" s="1"/>
  <c r="P160" i="1"/>
  <c r="H162" i="1" l="1"/>
  <c r="F162" i="1"/>
  <c r="K162" i="1" l="1"/>
  <c r="I162" i="1"/>
  <c r="J163" i="1" s="1"/>
  <c r="P162" i="1" s="1"/>
  <c r="H163" i="1" l="1"/>
  <c r="F163" i="1"/>
  <c r="K163" i="1" l="1"/>
  <c r="M163" i="1" s="1"/>
  <c r="I163" i="1"/>
  <c r="J164" i="1" s="1"/>
  <c r="P163" i="1" l="1"/>
  <c r="L163" i="1"/>
  <c r="H164" i="1"/>
  <c r="F164" i="1"/>
  <c r="K164" i="1" l="1"/>
  <c r="I164" i="1"/>
  <c r="J165" i="1" s="1"/>
  <c r="P164" i="1" s="1"/>
  <c r="H165" i="1"/>
  <c r="I165" i="1" l="1"/>
  <c r="J166" i="1" s="1"/>
  <c r="H166" i="1"/>
  <c r="F165" i="1"/>
  <c r="K165" i="1" l="1"/>
  <c r="F166" i="1"/>
  <c r="I166" i="1"/>
  <c r="J167" i="1" s="1"/>
  <c r="H167" i="1"/>
  <c r="P165" i="1"/>
  <c r="I167" i="1" l="1"/>
  <c r="J168" i="1" s="1"/>
  <c r="H168" i="1"/>
  <c r="I168" i="1" s="1"/>
  <c r="J169" i="1" s="1"/>
  <c r="F167" i="1"/>
  <c r="K166" i="1"/>
  <c r="P166" i="1" s="1"/>
  <c r="K167" i="1" l="1"/>
  <c r="F168" i="1"/>
  <c r="K168" i="1" s="1"/>
  <c r="P168" i="1"/>
  <c r="P167" i="1"/>
</calcChain>
</file>

<file path=xl/sharedStrings.xml><?xml version="1.0" encoding="utf-8"?>
<sst xmlns="http://schemas.openxmlformats.org/spreadsheetml/2006/main" count="169" uniqueCount="128">
  <si>
    <t>売上高</t>
    <rPh sb="0" eb="2">
      <t>ウリアゲ</t>
    </rPh>
    <rPh sb="2" eb="3">
      <t>ダカ</t>
    </rPh>
    <phoneticPr fontId="4"/>
  </si>
  <si>
    <t>1年度</t>
    <rPh sb="1" eb="3">
      <t>ネンド</t>
    </rPh>
    <phoneticPr fontId="4"/>
  </si>
  <si>
    <t>2年度</t>
    <rPh sb="1" eb="3">
      <t>ネンド</t>
    </rPh>
    <phoneticPr fontId="4"/>
  </si>
  <si>
    <t>3年度</t>
    <rPh sb="1" eb="3">
      <t>ネンド</t>
    </rPh>
    <phoneticPr fontId="4"/>
  </si>
  <si>
    <t>4年度</t>
    <rPh sb="1" eb="3">
      <t>ネンド</t>
    </rPh>
    <phoneticPr fontId="4"/>
  </si>
  <si>
    <t>5年度</t>
    <rPh sb="1" eb="3">
      <t>ネンド</t>
    </rPh>
    <phoneticPr fontId="4"/>
  </si>
  <si>
    <t>6年度</t>
    <rPh sb="1" eb="3">
      <t>ネンド</t>
    </rPh>
    <phoneticPr fontId="4"/>
  </si>
  <si>
    <t>7年度</t>
    <rPh sb="1" eb="3">
      <t>ネンド</t>
    </rPh>
    <phoneticPr fontId="4"/>
  </si>
  <si>
    <t>借入金</t>
    <rPh sb="0" eb="2">
      <t>カリイレ</t>
    </rPh>
    <rPh sb="2" eb="3">
      <t>キン</t>
    </rPh>
    <phoneticPr fontId="4"/>
  </si>
  <si>
    <t>（借入金利率）</t>
    <rPh sb="1" eb="3">
      <t>カリイレ</t>
    </rPh>
    <rPh sb="3" eb="4">
      <t>キン</t>
    </rPh>
    <rPh sb="4" eb="6">
      <t>リリツ</t>
    </rPh>
    <phoneticPr fontId="4"/>
  </si>
  <si>
    <t>原価</t>
    <rPh sb="0" eb="2">
      <t>ゲンカ</t>
    </rPh>
    <phoneticPr fontId="4"/>
  </si>
  <si>
    <t>原価率</t>
    <rPh sb="0" eb="2">
      <t>ゲンカ</t>
    </rPh>
    <rPh sb="2" eb="3">
      <t>リツ</t>
    </rPh>
    <phoneticPr fontId="4"/>
  </si>
  <si>
    <t>（借入年数）</t>
    <rPh sb="1" eb="3">
      <t>カリイレ</t>
    </rPh>
    <rPh sb="3" eb="5">
      <t>ネンスウ</t>
    </rPh>
    <phoneticPr fontId="4"/>
  </si>
  <si>
    <t>営業費用</t>
    <rPh sb="0" eb="2">
      <t>エイギョウ</t>
    </rPh>
    <rPh sb="2" eb="4">
      <t>ヒヨウ</t>
    </rPh>
    <phoneticPr fontId="4"/>
  </si>
  <si>
    <t>人件費</t>
    <rPh sb="0" eb="3">
      <t>ジンケンヒ</t>
    </rPh>
    <phoneticPr fontId="4"/>
  </si>
  <si>
    <t>預り保証金</t>
    <rPh sb="0" eb="1">
      <t>アズカ</t>
    </rPh>
    <rPh sb="2" eb="5">
      <t>ホショウキン</t>
    </rPh>
    <phoneticPr fontId="4"/>
  </si>
  <si>
    <t>営業外費用</t>
    <rPh sb="0" eb="3">
      <t>エイギョウガイ</t>
    </rPh>
    <rPh sb="3" eb="5">
      <t>ヒヨウ</t>
    </rPh>
    <phoneticPr fontId="4"/>
  </si>
  <si>
    <t>賃借料</t>
    <rPh sb="0" eb="3">
      <t>チンシャクリョウ</t>
    </rPh>
    <phoneticPr fontId="4"/>
  </si>
  <si>
    <t>その他</t>
    <rPh sb="2" eb="3">
      <t>タ</t>
    </rPh>
    <phoneticPr fontId="4"/>
  </si>
  <si>
    <t>差入保証金</t>
    <rPh sb="0" eb="2">
      <t>サシイレ</t>
    </rPh>
    <rPh sb="2" eb="5">
      <t>ホショウキン</t>
    </rPh>
    <phoneticPr fontId="4"/>
  </si>
  <si>
    <t>法人税等</t>
    <rPh sb="0" eb="3">
      <t>ホウジンゼイ</t>
    </rPh>
    <rPh sb="3" eb="4">
      <t>ナド</t>
    </rPh>
    <phoneticPr fontId="4"/>
  </si>
  <si>
    <t>税引後利益</t>
    <rPh sb="0" eb="2">
      <t>ゼイビキ</t>
    </rPh>
    <rPh sb="2" eb="3">
      <t>ゴ</t>
    </rPh>
    <rPh sb="3" eb="5">
      <t>リエキ</t>
    </rPh>
    <phoneticPr fontId="4"/>
  </si>
  <si>
    <t>棚卸資産</t>
    <rPh sb="0" eb="2">
      <t>タナオロシ</t>
    </rPh>
    <rPh sb="2" eb="4">
      <t>シサン</t>
    </rPh>
    <phoneticPr fontId="4"/>
  </si>
  <si>
    <t>損益分岐点</t>
    <rPh sb="0" eb="2">
      <t>ソンエキ</t>
    </rPh>
    <rPh sb="2" eb="5">
      <t>ブンキテン</t>
    </rPh>
    <phoneticPr fontId="4"/>
  </si>
  <si>
    <t>投下資本金額計</t>
    <rPh sb="0" eb="2">
      <t>トウカ</t>
    </rPh>
    <rPh sb="2" eb="4">
      <t>シホン</t>
    </rPh>
    <rPh sb="4" eb="6">
      <t>キンガク</t>
    </rPh>
    <rPh sb="6" eb="7">
      <t>ケイ</t>
    </rPh>
    <phoneticPr fontId="4"/>
  </si>
  <si>
    <t>資金調達額計</t>
    <rPh sb="0" eb="2">
      <t>シキン</t>
    </rPh>
    <rPh sb="2" eb="4">
      <t>チョウタツ</t>
    </rPh>
    <rPh sb="4" eb="5">
      <t>ガク</t>
    </rPh>
    <rPh sb="5" eb="6">
      <t>ケイ</t>
    </rPh>
    <phoneticPr fontId="4"/>
  </si>
  <si>
    <t>流動資産</t>
    <rPh sb="0" eb="2">
      <t>リュウドウ</t>
    </rPh>
    <rPh sb="2" eb="4">
      <t>シサン</t>
    </rPh>
    <phoneticPr fontId="4"/>
  </si>
  <si>
    <t>固定資産</t>
    <rPh sb="0" eb="2">
      <t>コテイ</t>
    </rPh>
    <rPh sb="2" eb="4">
      <t>シサン</t>
    </rPh>
    <phoneticPr fontId="4"/>
  </si>
  <si>
    <t>繰延資産</t>
    <rPh sb="0" eb="2">
      <t>クリノベ</t>
    </rPh>
    <rPh sb="2" eb="4">
      <t>シサン</t>
    </rPh>
    <phoneticPr fontId="4"/>
  </si>
  <si>
    <t>資産合計</t>
    <rPh sb="0" eb="2">
      <t>シサン</t>
    </rPh>
    <rPh sb="2" eb="4">
      <t>ゴウケイ</t>
    </rPh>
    <phoneticPr fontId="4"/>
  </si>
  <si>
    <t>流動負債</t>
    <rPh sb="0" eb="2">
      <t>リュウドウ</t>
    </rPh>
    <rPh sb="2" eb="4">
      <t>フサイ</t>
    </rPh>
    <phoneticPr fontId="4"/>
  </si>
  <si>
    <t>固定負債</t>
    <rPh sb="0" eb="2">
      <t>コテイ</t>
    </rPh>
    <rPh sb="2" eb="4">
      <t>フサイ</t>
    </rPh>
    <phoneticPr fontId="4"/>
  </si>
  <si>
    <t>純資産</t>
    <rPh sb="0" eb="3">
      <t>ジュンシサン</t>
    </rPh>
    <phoneticPr fontId="4"/>
  </si>
  <si>
    <t>各種償却費</t>
    <rPh sb="0" eb="2">
      <t>カクシュ</t>
    </rPh>
    <rPh sb="2" eb="4">
      <t>ショウキャク</t>
    </rPh>
    <rPh sb="4" eb="5">
      <t>ヒ</t>
    </rPh>
    <phoneticPr fontId="4"/>
  </si>
  <si>
    <t>借入金返済</t>
    <rPh sb="0" eb="2">
      <t>カリイレ</t>
    </rPh>
    <rPh sb="2" eb="3">
      <t>キン</t>
    </rPh>
    <rPh sb="3" eb="5">
      <t>ヘンサイ</t>
    </rPh>
    <phoneticPr fontId="4"/>
  </si>
  <si>
    <t>現金の増減額</t>
    <rPh sb="0" eb="2">
      <t>ゲンキン</t>
    </rPh>
    <rPh sb="3" eb="6">
      <t>ゾウゲンガク</t>
    </rPh>
    <phoneticPr fontId="4"/>
  </si>
  <si>
    <t>現金期末残高</t>
    <rPh sb="0" eb="2">
      <t>ゲンキン</t>
    </rPh>
    <rPh sb="2" eb="4">
      <t>キマツ</t>
    </rPh>
    <rPh sb="4" eb="6">
      <t>ザンダカ</t>
    </rPh>
    <phoneticPr fontId="4"/>
  </si>
  <si>
    <t>土地固定資産税</t>
    <rPh sb="0" eb="2">
      <t>トチ</t>
    </rPh>
    <rPh sb="2" eb="4">
      <t>コテイ</t>
    </rPh>
    <rPh sb="4" eb="7">
      <t>シサンゼイ</t>
    </rPh>
    <phoneticPr fontId="4"/>
  </si>
  <si>
    <t>建物固定資産税</t>
    <rPh sb="0" eb="2">
      <t>タテモノ</t>
    </rPh>
    <rPh sb="2" eb="4">
      <t>コテイ</t>
    </rPh>
    <rPh sb="4" eb="7">
      <t>シサンゼイ</t>
    </rPh>
    <phoneticPr fontId="4"/>
  </si>
  <si>
    <t>設備固定資産税</t>
    <rPh sb="0" eb="2">
      <t>セツビ</t>
    </rPh>
    <rPh sb="2" eb="4">
      <t>コテイ</t>
    </rPh>
    <rPh sb="4" eb="7">
      <t>シサンゼイ</t>
    </rPh>
    <phoneticPr fontId="4"/>
  </si>
  <si>
    <t>設備用仮計算</t>
    <rPh sb="0" eb="2">
      <t>セツビ</t>
    </rPh>
    <rPh sb="2" eb="3">
      <t>ヨウ</t>
    </rPh>
    <rPh sb="3" eb="4">
      <t>カリ</t>
    </rPh>
    <rPh sb="4" eb="6">
      <t>ケイサン</t>
    </rPh>
    <phoneticPr fontId="4"/>
  </si>
  <si>
    <t>建物減価償却費</t>
    <rPh sb="0" eb="2">
      <t>タテモノ</t>
    </rPh>
    <rPh sb="2" eb="4">
      <t>ゲンカ</t>
    </rPh>
    <rPh sb="4" eb="6">
      <t>ショウキャク</t>
    </rPh>
    <rPh sb="6" eb="7">
      <t>ヒ</t>
    </rPh>
    <phoneticPr fontId="4"/>
  </si>
  <si>
    <t>年数</t>
    <rPh sb="0" eb="2">
      <t>ネンスウ</t>
    </rPh>
    <phoneticPr fontId="4"/>
  </si>
  <si>
    <t>残存価額</t>
    <rPh sb="0" eb="2">
      <t>ザンゾン</t>
    </rPh>
    <rPh sb="2" eb="4">
      <t>カガク</t>
    </rPh>
    <phoneticPr fontId="4"/>
  </si>
  <si>
    <t>償却額</t>
    <rPh sb="0" eb="2">
      <t>ショウキャク</t>
    </rPh>
    <rPh sb="2" eb="3">
      <t>ガク</t>
    </rPh>
    <phoneticPr fontId="4"/>
  </si>
  <si>
    <t>設備減価償却費</t>
    <rPh sb="0" eb="2">
      <t>セツビ</t>
    </rPh>
    <rPh sb="2" eb="4">
      <t>ゲンカ</t>
    </rPh>
    <rPh sb="4" eb="6">
      <t>ショウキャク</t>
    </rPh>
    <rPh sb="6" eb="7">
      <t>ヒ</t>
    </rPh>
    <phoneticPr fontId="4"/>
  </si>
  <si>
    <t>開業費</t>
    <rPh sb="0" eb="2">
      <t>カイギョウ</t>
    </rPh>
    <rPh sb="2" eb="3">
      <t>ヒ</t>
    </rPh>
    <phoneticPr fontId="4"/>
  </si>
  <si>
    <t>支払利息</t>
    <rPh sb="0" eb="2">
      <t>シハライ</t>
    </rPh>
    <rPh sb="2" eb="4">
      <t>リソク</t>
    </rPh>
    <phoneticPr fontId="4"/>
  </si>
  <si>
    <t>元金返済額</t>
    <rPh sb="0" eb="2">
      <t>ガンキン</t>
    </rPh>
    <rPh sb="2" eb="4">
      <t>ヘンサイ</t>
    </rPh>
    <rPh sb="4" eb="5">
      <t>ガク</t>
    </rPh>
    <phoneticPr fontId="4"/>
  </si>
  <si>
    <t>金利</t>
    <rPh sb="0" eb="2">
      <t>キンリ</t>
    </rPh>
    <phoneticPr fontId="4"/>
  </si>
  <si>
    <t>回数</t>
    <rPh sb="0" eb="2">
      <t>カイスウ</t>
    </rPh>
    <phoneticPr fontId="4"/>
  </si>
  <si>
    <t>期間</t>
    <rPh sb="0" eb="2">
      <t>キカン</t>
    </rPh>
    <phoneticPr fontId="4"/>
  </si>
  <si>
    <t>元本</t>
    <rPh sb="0" eb="2">
      <t>ガンポン</t>
    </rPh>
    <phoneticPr fontId="4"/>
  </si>
  <si>
    <t>月返済</t>
    <rPh sb="0" eb="1">
      <t>ツキ</t>
    </rPh>
    <rPh sb="1" eb="3">
      <t>ヘンサイ</t>
    </rPh>
    <phoneticPr fontId="4"/>
  </si>
  <si>
    <t>月利息</t>
    <rPh sb="0" eb="1">
      <t>ツキ</t>
    </rPh>
    <rPh sb="1" eb="3">
      <t>リソク</t>
    </rPh>
    <phoneticPr fontId="4"/>
  </si>
  <si>
    <t>年利息</t>
    <rPh sb="0" eb="1">
      <t>ネン</t>
    </rPh>
    <rPh sb="1" eb="3">
      <t>リソク</t>
    </rPh>
    <phoneticPr fontId="4"/>
  </si>
  <si>
    <t>合計</t>
    <rPh sb="0" eb="2">
      <t>ゴウケイ</t>
    </rPh>
    <phoneticPr fontId="4"/>
  </si>
  <si>
    <t>建物修繕費</t>
    <rPh sb="0" eb="2">
      <t>タテモノ</t>
    </rPh>
    <rPh sb="2" eb="5">
      <t>シュウゼンヒ</t>
    </rPh>
    <phoneticPr fontId="2"/>
  </si>
  <si>
    <t>建物火災保険料</t>
    <rPh sb="0" eb="2">
      <t>タテモノ</t>
    </rPh>
    <rPh sb="2" eb="4">
      <t>カサイ</t>
    </rPh>
    <rPh sb="4" eb="6">
      <t>ホケン</t>
    </rPh>
    <rPh sb="6" eb="7">
      <t>リョウ</t>
    </rPh>
    <phoneticPr fontId="2"/>
  </si>
  <si>
    <t>（単位：万円）</t>
    <rPh sb="1" eb="3">
      <t>タンイ</t>
    </rPh>
    <rPh sb="4" eb="6">
      <t>マンエン</t>
    </rPh>
    <phoneticPr fontId="2"/>
  </si>
  <si>
    <t>年返済</t>
    <rPh sb="0" eb="1">
      <t>ネン</t>
    </rPh>
    <rPh sb="1" eb="3">
      <t>ヘンサイ</t>
    </rPh>
    <phoneticPr fontId="4"/>
  </si>
  <si>
    <t>月検算</t>
    <rPh sb="0" eb="1">
      <t>ツキ</t>
    </rPh>
    <rPh sb="1" eb="3">
      <t>ケンザン</t>
    </rPh>
    <phoneticPr fontId="4"/>
  </si>
  <si>
    <t>（注5）支払利息と繰延資産の償却費は営業外費用に含まれています。</t>
    <rPh sb="1" eb="2">
      <t>チュウ</t>
    </rPh>
    <rPh sb="18" eb="21">
      <t>エイギョウガイ</t>
    </rPh>
    <rPh sb="21" eb="23">
      <t>ヒヨウ</t>
    </rPh>
    <rPh sb="24" eb="25">
      <t>フク</t>
    </rPh>
    <phoneticPr fontId="4"/>
  </si>
  <si>
    <t>（注1）土地・建物・償却資産がある場合、その固定資産税は営業費用に含まれています。</t>
    <rPh sb="1" eb="2">
      <t>チュウ</t>
    </rPh>
    <rPh sb="17" eb="19">
      <t>バアイ</t>
    </rPh>
    <rPh sb="22" eb="24">
      <t>コテイ</t>
    </rPh>
    <rPh sb="24" eb="27">
      <t>シサンゼイ</t>
    </rPh>
    <rPh sb="28" eb="30">
      <t>エイギョウ</t>
    </rPh>
    <rPh sb="30" eb="32">
      <t>ヒヨウ</t>
    </rPh>
    <rPh sb="33" eb="34">
      <t>フク</t>
    </rPh>
    <phoneticPr fontId="4"/>
  </si>
  <si>
    <t>（注4）減価償却費は営業費用に含まれています。</t>
    <rPh sb="1" eb="2">
      <t>チュウ</t>
    </rPh>
    <rPh sb="10" eb="12">
      <t>エイギョウ</t>
    </rPh>
    <rPh sb="12" eb="14">
      <t>ヒヨウ</t>
    </rPh>
    <rPh sb="15" eb="16">
      <t>フク</t>
    </rPh>
    <phoneticPr fontId="4"/>
  </si>
  <si>
    <t>（注2）建物がある場合、その修繕費（建築費の0.5％）は営業費用に含まれています。</t>
    <rPh sb="1" eb="2">
      <t>チュウ</t>
    </rPh>
    <rPh sb="9" eb="11">
      <t>バアイ</t>
    </rPh>
    <rPh sb="28" eb="30">
      <t>エイギョウ</t>
    </rPh>
    <rPh sb="30" eb="32">
      <t>ヒヨウ</t>
    </rPh>
    <rPh sb="33" eb="34">
      <t>フク</t>
    </rPh>
    <phoneticPr fontId="4"/>
  </si>
  <si>
    <t>（注3）建物がある場合、その火災保険料（建築費の0.05％）は営業費用に含まれています。</t>
    <rPh sb="1" eb="2">
      <t>チュウ</t>
    </rPh>
    <rPh sb="9" eb="11">
      <t>バアイ</t>
    </rPh>
    <rPh sb="31" eb="33">
      <t>エイギョウ</t>
    </rPh>
    <rPh sb="33" eb="35">
      <t>ヒヨウ</t>
    </rPh>
    <rPh sb="36" eb="37">
      <t>フク</t>
    </rPh>
    <phoneticPr fontId="4"/>
  </si>
  <si>
    <t>●収益性</t>
    <rPh sb="1" eb="4">
      <t>シュウエキセイ</t>
    </rPh>
    <phoneticPr fontId="2"/>
  </si>
  <si>
    <t>ROE</t>
    <phoneticPr fontId="2"/>
  </si>
  <si>
    <t>●安全性</t>
    <rPh sb="1" eb="3">
      <t>アンゼン</t>
    </rPh>
    <rPh sb="3" eb="4">
      <t>セイ</t>
    </rPh>
    <phoneticPr fontId="2"/>
  </si>
  <si>
    <t>自己資本比率</t>
    <rPh sb="0" eb="2">
      <t>ジコ</t>
    </rPh>
    <rPh sb="2" eb="4">
      <t>シホン</t>
    </rPh>
    <rPh sb="4" eb="6">
      <t>ヒリツ</t>
    </rPh>
    <phoneticPr fontId="2"/>
  </si>
  <si>
    <t>固定比率</t>
    <rPh sb="0" eb="2">
      <t>コテイ</t>
    </rPh>
    <rPh sb="2" eb="4">
      <t>ヒリツ</t>
    </rPh>
    <phoneticPr fontId="2"/>
  </si>
  <si>
    <t>（単位：％）</t>
    <rPh sb="1" eb="3">
      <t>タンイ</t>
    </rPh>
    <phoneticPr fontId="2"/>
  </si>
  <si>
    <t>利益率</t>
    <rPh sb="0" eb="2">
      <t>リエキ</t>
    </rPh>
    <rPh sb="2" eb="3">
      <t>リツ</t>
    </rPh>
    <phoneticPr fontId="2"/>
  </si>
  <si>
    <t>（注1）ROEは「純利益/純資産（自己資本）」で計算されます。株主の持分である自己資本に対してどれだけの当期純利益が生み出されているかを示す指標で、数値が高いほど効率よく利益を得ていることを表します。</t>
    <rPh sb="1" eb="2">
      <t>チュウ</t>
    </rPh>
    <rPh sb="9" eb="12">
      <t>ジュンリエキ</t>
    </rPh>
    <rPh sb="13" eb="16">
      <t>ジュンシサン</t>
    </rPh>
    <rPh sb="17" eb="19">
      <t>ジコ</t>
    </rPh>
    <rPh sb="19" eb="21">
      <t>シホン</t>
    </rPh>
    <rPh sb="24" eb="26">
      <t>ケイサン</t>
    </rPh>
    <rPh sb="74" eb="76">
      <t>スウチ</t>
    </rPh>
    <rPh sb="77" eb="78">
      <t>タカ</t>
    </rPh>
    <rPh sb="81" eb="83">
      <t>コウリツ</t>
    </rPh>
    <rPh sb="85" eb="87">
      <t>リエキ</t>
    </rPh>
    <rPh sb="88" eb="89">
      <t>エ</t>
    </rPh>
    <rPh sb="95" eb="96">
      <t>アラワ</t>
    </rPh>
    <phoneticPr fontId="2"/>
  </si>
  <si>
    <t>売上総利益</t>
    <rPh sb="0" eb="2">
      <t>ウリアゲ</t>
    </rPh>
    <rPh sb="2" eb="5">
      <t>ソウリエキ</t>
    </rPh>
    <phoneticPr fontId="2"/>
  </si>
  <si>
    <t>営業利益</t>
    <rPh sb="0" eb="2">
      <t>エイギョウ</t>
    </rPh>
    <rPh sb="2" eb="4">
      <t>リエキ</t>
    </rPh>
    <phoneticPr fontId="2"/>
  </si>
  <si>
    <t>経常利益</t>
    <rPh sb="0" eb="2">
      <t>ケイジョウ</t>
    </rPh>
    <rPh sb="2" eb="4">
      <t>リエキ</t>
    </rPh>
    <phoneticPr fontId="2"/>
  </si>
  <si>
    <t>土地</t>
    <rPh sb="0" eb="2">
      <t>トチ</t>
    </rPh>
    <phoneticPr fontId="4"/>
  </si>
  <si>
    <t>建物附属設備</t>
    <rPh sb="0" eb="2">
      <t>タテモノ</t>
    </rPh>
    <rPh sb="2" eb="6">
      <t>フゾクセツビ</t>
    </rPh>
    <phoneticPr fontId="4"/>
  </si>
  <si>
    <t>建物</t>
    <rPh sb="0" eb="2">
      <t>タテモノ</t>
    </rPh>
    <phoneticPr fontId="4"/>
  </si>
  <si>
    <t>ROA</t>
    <phoneticPr fontId="2"/>
  </si>
  <si>
    <t>（注2）ROAは「純利益/総資本」で計算されます。会社の保有する総資本に対してどれだけの当期純利益が生み出されているかを示す指標で、数値が高いほど効率よく利益を得ていることを表します。</t>
    <rPh sb="1" eb="2">
      <t>チュウ</t>
    </rPh>
    <rPh sb="9" eb="12">
      <t>ジュンリエキ</t>
    </rPh>
    <rPh sb="13" eb="16">
      <t>ソウシホン</t>
    </rPh>
    <rPh sb="18" eb="20">
      <t>ケイサン</t>
    </rPh>
    <rPh sb="25" eb="27">
      <t>カイシャ</t>
    </rPh>
    <rPh sb="28" eb="30">
      <t>ホユウ</t>
    </rPh>
    <rPh sb="32" eb="35">
      <t>ソウシホン</t>
    </rPh>
    <rPh sb="66" eb="68">
      <t>スウチ</t>
    </rPh>
    <rPh sb="69" eb="70">
      <t>タカ</t>
    </rPh>
    <rPh sb="73" eb="75">
      <t>コウリツ</t>
    </rPh>
    <rPh sb="77" eb="79">
      <t>リエキ</t>
    </rPh>
    <rPh sb="80" eb="81">
      <t>エ</t>
    </rPh>
    <rPh sb="87" eb="88">
      <t>アラワ</t>
    </rPh>
    <phoneticPr fontId="2"/>
  </si>
  <si>
    <t>売上債権</t>
    <rPh sb="0" eb="4">
      <t>ウリアゲサイケン</t>
    </rPh>
    <phoneticPr fontId="2"/>
  </si>
  <si>
    <t>仕入債務</t>
    <rPh sb="0" eb="4">
      <t>シイレサイム</t>
    </rPh>
    <phoneticPr fontId="2"/>
  </si>
  <si>
    <t>（売上増加係数）</t>
    <rPh sb="1" eb="5">
      <t>ウリアゲゾウカ</t>
    </rPh>
    <rPh sb="5" eb="7">
      <t>ケイスウ</t>
    </rPh>
    <phoneticPr fontId="2"/>
  </si>
  <si>
    <t>現金預金</t>
    <rPh sb="0" eb="4">
      <t>ゲンキンヨキン</t>
    </rPh>
    <phoneticPr fontId="4"/>
  </si>
  <si>
    <t>売上債権（売上の2ヶ月分）</t>
    <rPh sb="5" eb="7">
      <t>ウリアゲ</t>
    </rPh>
    <rPh sb="10" eb="12">
      <t>ゲツブン</t>
    </rPh>
    <phoneticPr fontId="2"/>
  </si>
  <si>
    <t>仕入債務（仕入原価の1.5ヶ月分）</t>
    <rPh sb="5" eb="7">
      <t>シイ</t>
    </rPh>
    <rPh sb="7" eb="9">
      <t>ゲンカ</t>
    </rPh>
    <rPh sb="14" eb="16">
      <t>ゲツブン</t>
    </rPh>
    <phoneticPr fontId="2"/>
  </si>
  <si>
    <t>総資本回転率</t>
    <rPh sb="0" eb="6">
      <t>ソウシホンカイテンリツ</t>
    </rPh>
    <phoneticPr fontId="2"/>
  </si>
  <si>
    <t>売上債権回転率</t>
    <rPh sb="0" eb="7">
      <t>ウリアゲサイケンカイテンリツ</t>
    </rPh>
    <phoneticPr fontId="2"/>
  </si>
  <si>
    <t>（注3）利益率は「利益/売上高」で計算されます。売上高に対してどれだけの経常利益が生み出されているかを示す指標で、数値が高いほど企業の業績が高いことを表します。なお、本シミレーションにおいては特別損益を考慮していないため、経常利益率を計算しています。</t>
    <rPh sb="1" eb="2">
      <t>チュウ</t>
    </rPh>
    <rPh sb="9" eb="11">
      <t>リエキ</t>
    </rPh>
    <rPh sb="12" eb="14">
      <t>ウリアゲ</t>
    </rPh>
    <rPh sb="14" eb="15">
      <t>ダカ</t>
    </rPh>
    <rPh sb="17" eb="19">
      <t>ケイサン</t>
    </rPh>
    <rPh sb="24" eb="26">
      <t>ウリアゲ</t>
    </rPh>
    <rPh sb="26" eb="27">
      <t>ダカ</t>
    </rPh>
    <rPh sb="28" eb="29">
      <t>タイ</t>
    </rPh>
    <rPh sb="36" eb="38">
      <t>ケイジョウ</t>
    </rPh>
    <rPh sb="38" eb="40">
      <t>リエキ</t>
    </rPh>
    <rPh sb="41" eb="42">
      <t>ウ</t>
    </rPh>
    <rPh sb="43" eb="44">
      <t>ダ</t>
    </rPh>
    <rPh sb="51" eb="52">
      <t>シメ</t>
    </rPh>
    <rPh sb="53" eb="55">
      <t>シヒョウ</t>
    </rPh>
    <rPh sb="57" eb="59">
      <t>スウチ</t>
    </rPh>
    <rPh sb="60" eb="61">
      <t>タカ</t>
    </rPh>
    <rPh sb="64" eb="66">
      <t>キギョウ</t>
    </rPh>
    <rPh sb="67" eb="69">
      <t>ギョウセキ</t>
    </rPh>
    <rPh sb="70" eb="71">
      <t>タカ</t>
    </rPh>
    <rPh sb="75" eb="76">
      <t>アラワ</t>
    </rPh>
    <rPh sb="117" eb="119">
      <t>ケイサン</t>
    </rPh>
    <phoneticPr fontId="2"/>
  </si>
  <si>
    <t>（注4）総資本回転率は「売上高/総資本」で計算されます。会社の保有する総資本に対してどれだけの売上高が生み出されているかを示す指標で、数値が高いほど効率よく利益を得ていることを表します。例えば、売上獲得に貢献しない資産（保養所など）を多く所有している場合、総資本回転率は悪化します。</t>
    <rPh sb="1" eb="2">
      <t>チュウ</t>
    </rPh>
    <rPh sb="4" eb="7">
      <t>ソウシホン</t>
    </rPh>
    <rPh sb="7" eb="10">
      <t>カイテンリツ</t>
    </rPh>
    <rPh sb="12" eb="15">
      <t>ウリアゲダカ</t>
    </rPh>
    <rPh sb="16" eb="19">
      <t>ソウシホン</t>
    </rPh>
    <rPh sb="21" eb="23">
      <t>ケイサン</t>
    </rPh>
    <rPh sb="28" eb="30">
      <t>カイシャ</t>
    </rPh>
    <rPh sb="31" eb="33">
      <t>ホユウ</t>
    </rPh>
    <rPh sb="35" eb="38">
      <t>ソウシホン</t>
    </rPh>
    <rPh sb="47" eb="50">
      <t>ウリアゲダカ</t>
    </rPh>
    <rPh sb="67" eb="69">
      <t>スウチ</t>
    </rPh>
    <rPh sb="70" eb="71">
      <t>タカ</t>
    </rPh>
    <rPh sb="74" eb="76">
      <t>コウリツ</t>
    </rPh>
    <rPh sb="78" eb="80">
      <t>リエキ</t>
    </rPh>
    <rPh sb="81" eb="82">
      <t>エ</t>
    </rPh>
    <rPh sb="88" eb="89">
      <t>アラワ</t>
    </rPh>
    <rPh sb="93" eb="94">
      <t>タト</t>
    </rPh>
    <rPh sb="97" eb="99">
      <t>ウリアゲ</t>
    </rPh>
    <rPh sb="99" eb="101">
      <t>カクトク</t>
    </rPh>
    <rPh sb="102" eb="104">
      <t>コウケン</t>
    </rPh>
    <rPh sb="107" eb="109">
      <t>シサン</t>
    </rPh>
    <rPh sb="110" eb="113">
      <t>ホヨウジョ</t>
    </rPh>
    <rPh sb="117" eb="118">
      <t>オオ</t>
    </rPh>
    <rPh sb="119" eb="121">
      <t>ショユウ</t>
    </rPh>
    <rPh sb="125" eb="127">
      <t>バアイ</t>
    </rPh>
    <rPh sb="128" eb="134">
      <t>ソウシホンカイテンリツ</t>
    </rPh>
    <rPh sb="135" eb="137">
      <t>アッカ</t>
    </rPh>
    <phoneticPr fontId="2"/>
  </si>
  <si>
    <t>流動比率</t>
    <rPh sb="0" eb="4">
      <t>リュウドウヒリツ</t>
    </rPh>
    <phoneticPr fontId="2"/>
  </si>
  <si>
    <t>（注1）流動比率は「流動資産/流動負債」で計算されます。短期的な支出を短期的な収入でどの程度カバーできるかを指標で、200％以上が理想とされています。</t>
    <rPh sb="1" eb="2">
      <t>チュウ</t>
    </rPh>
    <rPh sb="4" eb="6">
      <t>リュウドウ</t>
    </rPh>
    <rPh sb="6" eb="8">
      <t>ヒリツ</t>
    </rPh>
    <rPh sb="10" eb="12">
      <t>リュウドウ</t>
    </rPh>
    <rPh sb="12" eb="14">
      <t>シサン</t>
    </rPh>
    <rPh sb="15" eb="19">
      <t>リュウドウフサイ</t>
    </rPh>
    <rPh sb="21" eb="23">
      <t>ケイサン</t>
    </rPh>
    <rPh sb="28" eb="31">
      <t>タンキテキ</t>
    </rPh>
    <rPh sb="32" eb="34">
      <t>シシュツ</t>
    </rPh>
    <rPh sb="35" eb="38">
      <t>タンキテキ</t>
    </rPh>
    <rPh sb="39" eb="41">
      <t>シュウニュウ</t>
    </rPh>
    <rPh sb="44" eb="46">
      <t>テイド</t>
    </rPh>
    <rPh sb="54" eb="56">
      <t>シヒョウ</t>
    </rPh>
    <rPh sb="62" eb="64">
      <t>イジョウ</t>
    </rPh>
    <rPh sb="65" eb="67">
      <t>リソウ</t>
    </rPh>
    <phoneticPr fontId="2"/>
  </si>
  <si>
    <t>（図表3）【主な財務指標】</t>
    <rPh sb="1" eb="3">
      <t>ズヒョウ</t>
    </rPh>
    <rPh sb="6" eb="7">
      <t>オモ</t>
    </rPh>
    <rPh sb="8" eb="10">
      <t>ザイム</t>
    </rPh>
    <rPh sb="10" eb="12">
      <t>シヒョウ</t>
    </rPh>
    <phoneticPr fontId="4"/>
  </si>
  <si>
    <t>カ月後に入金されるものとします。</t>
    <rPh sb="1" eb="2">
      <t>ゲツ</t>
    </rPh>
    <rPh sb="2" eb="3">
      <t>ゴ</t>
    </rPh>
    <rPh sb="4" eb="6">
      <t>ニュウキン</t>
    </rPh>
    <phoneticPr fontId="2"/>
  </si>
  <si>
    <t>カ月後に出金されるものとします。</t>
    <rPh sb="1" eb="2">
      <t>ゲツ</t>
    </rPh>
    <rPh sb="2" eb="3">
      <t>ゴ</t>
    </rPh>
    <rPh sb="4" eb="6">
      <t>シュッキン</t>
    </rPh>
    <phoneticPr fontId="2"/>
  </si>
  <si>
    <t>（注9）仕入債務は仕入の日から</t>
    <rPh sb="1" eb="2">
      <t>チュウ</t>
    </rPh>
    <rPh sb="4" eb="6">
      <t>シイレ</t>
    </rPh>
    <rPh sb="6" eb="8">
      <t>サイム</t>
    </rPh>
    <rPh sb="9" eb="11">
      <t>シイレ</t>
    </rPh>
    <rPh sb="12" eb="13">
      <t>ビ</t>
    </rPh>
    <phoneticPr fontId="2"/>
  </si>
  <si>
    <t>負債・純資産合計</t>
    <rPh sb="0" eb="2">
      <t>フサイ</t>
    </rPh>
    <rPh sb="3" eb="4">
      <t>ジュン</t>
    </rPh>
    <rPh sb="4" eb="6">
      <t>シサン</t>
    </rPh>
    <rPh sb="6" eb="8">
      <t>ゴウケイ</t>
    </rPh>
    <phoneticPr fontId="4"/>
  </si>
  <si>
    <t>税引前当期純利益</t>
    <rPh sb="0" eb="2">
      <t>ゼイビキ</t>
    </rPh>
    <rPh sb="2" eb="3">
      <t>マエ</t>
    </rPh>
    <rPh sb="3" eb="5">
      <t>トウキ</t>
    </rPh>
    <rPh sb="5" eb="6">
      <t>ジュン</t>
    </rPh>
    <rPh sb="6" eb="8">
      <t>リエキ</t>
    </rPh>
    <phoneticPr fontId="4"/>
  </si>
  <si>
    <t>当期純利益</t>
    <rPh sb="0" eb="2">
      <t>トウキ</t>
    </rPh>
    <rPh sb="2" eb="5">
      <t>ジュンリエキ</t>
    </rPh>
    <rPh sb="3" eb="5">
      <t>リエキ</t>
    </rPh>
    <phoneticPr fontId="4"/>
  </si>
  <si>
    <t>（図表1）【収支シミュレーションの前提条件】</t>
    <rPh sb="1" eb="3">
      <t>ズヒョウ</t>
    </rPh>
    <rPh sb="5" eb="6">
      <t>シュウシ</t>
    </rPh>
    <rPh sb="6" eb="7">
      <t>ケイカク</t>
    </rPh>
    <rPh sb="17" eb="18">
      <t>ジョウケン</t>
    </rPh>
    <phoneticPr fontId="4"/>
  </si>
  <si>
    <t>●キャッシュフロー計算書（CF）</t>
    <phoneticPr fontId="4"/>
  </si>
  <si>
    <t>（図表2）【収支シミュレーション（財務三表）】</t>
    <rPh sb="1" eb="3">
      <t>ズヒョウ</t>
    </rPh>
    <rPh sb="6" eb="8">
      <t>シュウシ</t>
    </rPh>
    <rPh sb="17" eb="19">
      <t xml:space="preserve">ザイム </t>
    </rPh>
    <rPh sb="19" eb="20">
      <t xml:space="preserve">サンヒョウ </t>
    </rPh>
    <rPh sb="20" eb="21">
      <t xml:space="preserve">ヒョウ </t>
    </rPh>
    <phoneticPr fontId="4"/>
  </si>
  <si>
    <t>●損益計算書（PL）</t>
    <rPh sb="2" eb="4">
      <t xml:space="preserve">ソンエキ </t>
    </rPh>
    <rPh sb="4" eb="7">
      <t xml:space="preserve">ケイサンショ </t>
    </rPh>
    <phoneticPr fontId="4"/>
  </si>
  <si>
    <t>●貸借対照表（BS）</t>
    <rPh sb="2" eb="4">
      <t xml:space="preserve">タイシャク </t>
    </rPh>
    <rPh sb="4" eb="7">
      <t xml:space="preserve">タイショウヒョウ </t>
    </rPh>
    <phoneticPr fontId="4"/>
  </si>
  <si>
    <t>●売上高</t>
    <rPh sb="2" eb="4">
      <t>ウリアゲダカ</t>
    </rPh>
    <phoneticPr fontId="4"/>
  </si>
  <si>
    <t>●原価、営業費用</t>
    <rPh sb="2" eb="4">
      <t>ゲンカ</t>
    </rPh>
    <rPh sb="5" eb="7">
      <t>エイギョウヒヨウ</t>
    </rPh>
    <phoneticPr fontId="4"/>
  </si>
  <si>
    <t>●投下資本</t>
    <rPh sb="2" eb="4">
      <t>トウカシホン</t>
    </rPh>
    <phoneticPr fontId="4"/>
  </si>
  <si>
    <t>●資金調達</t>
    <rPh sb="2" eb="4">
      <t>シキンチョウタツ</t>
    </rPh>
    <phoneticPr fontId="4"/>
  </si>
  <si>
    <t>（耐用年数）</t>
    <rPh sb="1" eb="3">
      <t>タイヨウ</t>
    </rPh>
    <rPh sb="3" eb="5">
      <t>ネンスウ</t>
    </rPh>
    <phoneticPr fontId="4"/>
  </si>
  <si>
    <t>自己資本金</t>
    <rPh sb="0" eb="2">
      <t>ジコ</t>
    </rPh>
    <rPh sb="2" eb="4">
      <t>シホン</t>
    </rPh>
    <rPh sb="4" eb="5">
      <t>キン</t>
    </rPh>
    <phoneticPr fontId="4"/>
  </si>
  <si>
    <t>（損益分岐点売上高）</t>
    <rPh sb="1" eb="3">
      <t>ソンエキ</t>
    </rPh>
    <rPh sb="3" eb="6">
      <t>ブンキテン</t>
    </rPh>
    <rPh sb="6" eb="8">
      <t>ウリアゲ</t>
    </rPh>
    <rPh sb="8" eb="9">
      <t>ダカ</t>
    </rPh>
    <phoneticPr fontId="4"/>
  </si>
  <si>
    <t>棚卸資産</t>
    <rPh sb="0" eb="4">
      <t>タナオロシシサン</t>
    </rPh>
    <phoneticPr fontId="2"/>
  </si>
  <si>
    <t>（注6）繰延資産（開業費）は5年均等償却とします。</t>
    <rPh sb="1" eb="2">
      <t>チュウ</t>
    </rPh>
    <rPh sb="4" eb="6">
      <t>クリノベ</t>
    </rPh>
    <rPh sb="6" eb="8">
      <t>シサン</t>
    </rPh>
    <rPh sb="9" eb="11">
      <t>カイギョウ</t>
    </rPh>
    <rPh sb="11" eb="12">
      <t>ヒ</t>
    </rPh>
    <rPh sb="15" eb="16">
      <t>ネン</t>
    </rPh>
    <rPh sb="16" eb="18">
      <t>キントウ</t>
    </rPh>
    <rPh sb="18" eb="20">
      <t>ショウキャク</t>
    </rPh>
    <phoneticPr fontId="4"/>
  </si>
  <si>
    <t>％とします。</t>
    <phoneticPr fontId="2"/>
  </si>
  <si>
    <t>（注8）売上債権は売上の日から、</t>
    <rPh sb="1" eb="2">
      <t>チュウ</t>
    </rPh>
    <rPh sb="4" eb="8">
      <t>ウリアゲサイケン</t>
    </rPh>
    <rPh sb="9" eb="11">
      <t>ウリアゲ</t>
    </rPh>
    <rPh sb="12" eb="13">
      <t>ビ</t>
    </rPh>
    <phoneticPr fontId="2"/>
  </si>
  <si>
    <t>（注7）期末棚卸資産は売上高の</t>
    <rPh sb="1" eb="2">
      <t>チュウ</t>
    </rPh>
    <rPh sb="4" eb="6">
      <t>キマツ</t>
    </rPh>
    <rPh sb="6" eb="10">
      <t>タナオロシシサン</t>
    </rPh>
    <rPh sb="11" eb="14">
      <t>ウリアゲダカ</t>
    </rPh>
    <phoneticPr fontId="2"/>
  </si>
  <si>
    <t>（注13）借入金は元利均等返済とします。</t>
    <rPh sb="1" eb="2">
      <t>チュウ</t>
    </rPh>
    <rPh sb="5" eb="7">
      <t>カリイレ</t>
    </rPh>
    <rPh sb="7" eb="8">
      <t>キン</t>
    </rPh>
    <rPh sb="9" eb="13">
      <t>ガンリキントウ</t>
    </rPh>
    <rPh sb="13" eb="15">
      <t>ヘンサイ</t>
    </rPh>
    <phoneticPr fontId="4"/>
  </si>
  <si>
    <t>（注14）法人税等の実効税率は30％とします。</t>
    <rPh sb="1" eb="2">
      <t>チュウ</t>
    </rPh>
    <rPh sb="5" eb="9">
      <t>ホウジンゼイナド</t>
    </rPh>
    <rPh sb="10" eb="12">
      <t>ジッコウ</t>
    </rPh>
    <rPh sb="12" eb="14">
      <t>ゼイリツ</t>
    </rPh>
    <phoneticPr fontId="2"/>
  </si>
  <si>
    <t>（注12）法人税等の繰越欠損金については、省略しています。</t>
    <rPh sb="1" eb="2">
      <t>チュウ</t>
    </rPh>
    <rPh sb="21" eb="23">
      <t>ショウリャク</t>
    </rPh>
    <phoneticPr fontId="2"/>
  </si>
  <si>
    <t>（注11）原価の全額が仕入れであるものとして、仕入債務を計算しています。</t>
    <rPh sb="1" eb="2">
      <t>チュウ</t>
    </rPh>
    <phoneticPr fontId="2"/>
  </si>
  <si>
    <t>（注10）固定費は前提条件のまま一定としています。</t>
    <rPh sb="1" eb="2">
      <t>チュウ</t>
    </rPh>
    <rPh sb="5" eb="8">
      <t>コテイヒ</t>
    </rPh>
    <rPh sb="9" eb="11">
      <t>ゼンテイ</t>
    </rPh>
    <rPh sb="11" eb="13">
      <t>ジョウケン</t>
    </rPh>
    <rPh sb="16" eb="18">
      <t>イッテイ</t>
    </rPh>
    <phoneticPr fontId="2"/>
  </si>
  <si>
    <t>（注5）売上債権回転率は「売上高/売上債権」で計算されます。売上債権（売掛金や受取手形）の回収が効率的に行われているかを示す指標で、数値が高いほど効率よく利益を得ていることを表します。なお、本シミュレーションにおいては、売上債権を売上に対して一定割合としているため、比率に変動は生じていません。また、売掛金が発生しない事業の場合は、「－」となります。</t>
    <rPh sb="123" eb="125">
      <t>ワリアイ</t>
    </rPh>
    <phoneticPr fontId="2"/>
  </si>
  <si>
    <t>（注2）自己資本比率は「自己資本/総資本（総資産）」で計算されます。調達資金のうち返済義務のない資本（自己資本）の割合を示す指標で、数値が高いほど経営が安定しているとされます。</t>
    <rPh sb="1" eb="2">
      <t>チュウ</t>
    </rPh>
    <rPh sb="4" eb="6">
      <t>ジコ</t>
    </rPh>
    <rPh sb="6" eb="8">
      <t>シホン</t>
    </rPh>
    <rPh sb="8" eb="10">
      <t>ヒリツ</t>
    </rPh>
    <rPh sb="12" eb="14">
      <t>ジコ</t>
    </rPh>
    <rPh sb="14" eb="16">
      <t>シホン</t>
    </rPh>
    <rPh sb="17" eb="20">
      <t>ソウシホン</t>
    </rPh>
    <rPh sb="21" eb="24">
      <t>ソウシサン</t>
    </rPh>
    <rPh sb="27" eb="29">
      <t>ケイサン</t>
    </rPh>
    <rPh sb="34" eb="36">
      <t>チョウタツ</t>
    </rPh>
    <rPh sb="36" eb="38">
      <t>シキン</t>
    </rPh>
    <rPh sb="41" eb="43">
      <t>ヘンサイ</t>
    </rPh>
    <rPh sb="43" eb="45">
      <t>ギム</t>
    </rPh>
    <rPh sb="48" eb="50">
      <t>シホン</t>
    </rPh>
    <rPh sb="51" eb="53">
      <t>ジコ</t>
    </rPh>
    <rPh sb="53" eb="55">
      <t>シホン</t>
    </rPh>
    <rPh sb="57" eb="59">
      <t>ワリアイ</t>
    </rPh>
    <rPh sb="66" eb="68">
      <t>スウチ</t>
    </rPh>
    <rPh sb="69" eb="70">
      <t>タカ</t>
    </rPh>
    <rPh sb="73" eb="75">
      <t>ケイエイ</t>
    </rPh>
    <rPh sb="76" eb="78">
      <t>アンテイ</t>
    </rPh>
    <phoneticPr fontId="2"/>
  </si>
  <si>
    <t>（注3）固定比率は「固定資産/純資産（自己資本）」で計算されます。固定資産に対する投資がどの程度返済義務のない資本（自己資本）を元手にしているかを示す指標で、100％未満が理想とされています。</t>
    <rPh sb="1" eb="2">
      <t>チュウ</t>
    </rPh>
    <rPh sb="4" eb="6">
      <t>コテイ</t>
    </rPh>
    <rPh sb="6" eb="8">
      <t>ヒリツ</t>
    </rPh>
    <rPh sb="10" eb="12">
      <t>コテイ</t>
    </rPh>
    <rPh sb="12" eb="14">
      <t>シサン</t>
    </rPh>
    <rPh sb="15" eb="18">
      <t>ジュンシサン</t>
    </rPh>
    <rPh sb="19" eb="21">
      <t>ジコ</t>
    </rPh>
    <rPh sb="21" eb="23">
      <t>シホン</t>
    </rPh>
    <rPh sb="26" eb="28">
      <t>ケイサン</t>
    </rPh>
    <rPh sb="33" eb="35">
      <t>コテイ</t>
    </rPh>
    <rPh sb="35" eb="37">
      <t>シサン</t>
    </rPh>
    <rPh sb="38" eb="39">
      <t>タイ</t>
    </rPh>
    <rPh sb="41" eb="43">
      <t>トウシ</t>
    </rPh>
    <rPh sb="46" eb="48">
      <t>テイド</t>
    </rPh>
    <rPh sb="73" eb="74">
      <t>シメ</t>
    </rPh>
    <rPh sb="75" eb="77">
      <t>シヒョウ</t>
    </rPh>
    <rPh sb="83" eb="85">
      <t>ミマン</t>
    </rPh>
    <rPh sb="86" eb="88">
      <t>リソウ</t>
    </rPh>
    <phoneticPr fontId="2"/>
  </si>
  <si>
    <t>※黄色背景セルに、自身の前提条件の数値を入力します。その他の数値は自動計算です。なお、前提条件の数値は参考数値です。</t>
    <rPh sb="1" eb="3">
      <t>キイロ</t>
    </rPh>
    <rPh sb="3" eb="5">
      <t>ハイケイ</t>
    </rPh>
    <rPh sb="9" eb="11">
      <t>ジシン</t>
    </rPh>
    <rPh sb="12" eb="16">
      <t>ゼンテイジョウケン</t>
    </rPh>
    <rPh sb="17" eb="19">
      <t>スウチ</t>
    </rPh>
    <rPh sb="20" eb="22">
      <t>ニュウリョク</t>
    </rPh>
    <rPh sb="28" eb="29">
      <t>ホカ</t>
    </rPh>
    <rPh sb="30" eb="32">
      <t>スウチ</t>
    </rPh>
    <rPh sb="33" eb="37">
      <t>ジドウケイサン</t>
    </rPh>
    <rPh sb="43" eb="47">
      <t>ゼンテイジョウケン</t>
    </rPh>
    <rPh sb="48" eb="50">
      <t>スウチ</t>
    </rPh>
    <rPh sb="51" eb="53">
      <t>サンコウ</t>
    </rPh>
    <rPh sb="53" eb="55">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</si>
</sst>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Red]\-#,##0.0"/>
    <numFmt numFmtId="179" formatCode="#,##0.000;[Red]\-#,##0.000"/>
    <numFmt numFmtId="180" formatCode="0.000"/>
  </numFmts>
  <fonts count="12">
    <font>
      <sz val="11"/>
      <color theme="1"/>
      <name val="ＭＳ Ｐゴシック"/>
      <family val="3"/>
      <charset val="128"/>
      <scheme val="minor"/>
    </font>
    <font>
      <sz val="10"/>
      <name val="メイリオ"/>
      <family val="3"/>
      <charset val="128"/>
    </font>
    <font>
      <sz val="6"/>
      <name val="ＭＳ Ｐゴシック"/>
      <family val="3"/>
      <charset val="128"/>
    </font>
    <font>
      <sz val="14"/>
      <name val="メイリオ"/>
      <family val="3"/>
      <charset val="128"/>
    </font>
    <font>
      <sz val="6"/>
      <name val="Osaka"/>
      <family val="3"/>
      <charset val="128"/>
    </font>
    <font>
      <sz val="10"/>
      <name val="メイリオ"/>
      <family val="3"/>
      <charset val="128"/>
    </font>
    <font>
      <sz val="11"/>
      <color theme="1"/>
      <name val="ＭＳ Ｐゴシック"/>
      <family val="3"/>
      <charset val="128"/>
      <scheme val="minor"/>
    </font>
    <font>
      <sz val="10"/>
      <color rgb="FFFF0000"/>
      <name val="メイリオ"/>
      <family val="3"/>
      <charset val="128"/>
    </font>
    <font>
      <sz val="10"/>
      <color rgb="FF00B050"/>
      <name val="メイリオ"/>
      <family val="3"/>
      <charset val="128"/>
    </font>
    <font>
      <sz val="10"/>
      <color theme="0"/>
      <name val="メイリオ"/>
      <family val="3"/>
      <charset val="128"/>
    </font>
    <font>
      <sz val="10"/>
      <color theme="1"/>
      <name val="メイリオ"/>
      <family val="3"/>
      <charset val="128"/>
    </font>
    <font>
      <sz val="10"/>
      <color theme="9"/>
      <name val="メイリオ"/>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rgb="FFF2F2F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84">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1" xfId="0" applyFont="1" applyBorder="1">
      <alignment vertical="center"/>
    </xf>
    <xf numFmtId="0" fontId="1" fillId="0" borderId="2" xfId="0" applyFont="1" applyBorder="1">
      <alignment vertical="center"/>
    </xf>
    <xf numFmtId="38" fontId="1" fillId="0" borderId="2" xfId="2" applyFont="1" applyBorder="1" applyAlignment="1">
      <alignment vertical="center"/>
    </xf>
    <xf numFmtId="0" fontId="1" fillId="0" borderId="3" xfId="0" applyFont="1" applyBorder="1">
      <alignment vertical="center"/>
    </xf>
    <xf numFmtId="38" fontId="1" fillId="0" borderId="3" xfId="2" applyFont="1" applyBorder="1" applyAlignment="1">
      <alignment vertical="center"/>
    </xf>
    <xf numFmtId="38" fontId="1" fillId="0" borderId="2" xfId="0" applyNumberFormat="1" applyFont="1" applyBorder="1">
      <alignment vertical="center"/>
    </xf>
    <xf numFmtId="38" fontId="1" fillId="0" borderId="3" xfId="0" applyNumberFormat="1" applyFont="1" applyBorder="1">
      <alignment vertical="center"/>
    </xf>
    <xf numFmtId="0" fontId="1" fillId="0" borderId="4" xfId="0" applyFont="1" applyBorder="1">
      <alignment vertical="center"/>
    </xf>
    <xf numFmtId="38" fontId="1" fillId="0" borderId="4" xfId="2" applyFont="1" applyBorder="1" applyAlignment="1">
      <alignment vertical="center"/>
    </xf>
    <xf numFmtId="2" fontId="1" fillId="0" borderId="3" xfId="0" applyNumberFormat="1" applyFont="1" applyBorder="1">
      <alignment vertical="center"/>
    </xf>
    <xf numFmtId="177" fontId="1" fillId="2" borderId="0" xfId="0" applyNumberFormat="1" applyFont="1" applyFill="1">
      <alignment vertical="center"/>
    </xf>
    <xf numFmtId="0" fontId="1" fillId="2" borderId="0" xfId="0" applyFont="1" applyFill="1">
      <alignment vertical="center"/>
    </xf>
    <xf numFmtId="0" fontId="7" fillId="0" borderId="0" xfId="0" applyFont="1">
      <alignment vertical="center"/>
    </xf>
    <xf numFmtId="179" fontId="7" fillId="0" borderId="0" xfId="2" applyNumberFormat="1" applyFont="1" applyAlignment="1">
      <alignment vertical="center"/>
    </xf>
    <xf numFmtId="0" fontId="7" fillId="0" borderId="0" xfId="0" applyFont="1" applyAlignment="1">
      <alignment horizontal="center" vertical="center"/>
    </xf>
    <xf numFmtId="3" fontId="1" fillId="0" borderId="2" xfId="0" applyNumberFormat="1" applyFont="1" applyBorder="1">
      <alignment vertical="center"/>
    </xf>
    <xf numFmtId="38" fontId="1" fillId="2" borderId="0" xfId="2" applyFont="1" applyFill="1" applyAlignment="1">
      <alignment vertical="center"/>
    </xf>
    <xf numFmtId="3" fontId="1" fillId="0" borderId="0" xfId="0" applyNumberFormat="1" applyFont="1">
      <alignment vertical="center"/>
    </xf>
    <xf numFmtId="178" fontId="1" fillId="2" borderId="0" xfId="0" applyNumberFormat="1" applyFont="1" applyFill="1">
      <alignment vertical="center"/>
    </xf>
    <xf numFmtId="0" fontId="1" fillId="3" borderId="0" xfId="0" applyFont="1" applyFill="1">
      <alignment vertical="center"/>
    </xf>
    <xf numFmtId="38" fontId="1" fillId="3" borderId="0" xfId="0" applyNumberFormat="1" applyFont="1" applyFill="1">
      <alignment vertical="center"/>
    </xf>
    <xf numFmtId="0" fontId="8" fillId="0" borderId="0" xfId="0" applyFont="1">
      <alignment vertical="center"/>
    </xf>
    <xf numFmtId="0" fontId="8" fillId="0" borderId="0" xfId="0" applyFont="1" applyAlignment="1">
      <alignment horizontal="center" vertical="center"/>
    </xf>
    <xf numFmtId="176" fontId="8" fillId="0" borderId="1" xfId="0" applyNumberFormat="1" applyFont="1" applyBorder="1">
      <alignment vertical="center"/>
    </xf>
    <xf numFmtId="0" fontId="8" fillId="0" borderId="1" xfId="0" applyFont="1" applyBorder="1">
      <alignment vertical="center"/>
    </xf>
    <xf numFmtId="38" fontId="8" fillId="0" borderId="1" xfId="0" applyNumberFormat="1" applyFont="1" applyBorder="1">
      <alignment vertical="center"/>
    </xf>
    <xf numFmtId="38" fontId="8" fillId="0" borderId="0" xfId="0" applyNumberFormat="1" applyFont="1">
      <alignment vertical="center"/>
    </xf>
    <xf numFmtId="179" fontId="8" fillId="0" borderId="1" xfId="2" applyNumberFormat="1" applyFont="1" applyBorder="1" applyAlignment="1">
      <alignment vertical="center"/>
    </xf>
    <xf numFmtId="180" fontId="8" fillId="0" borderId="0" xfId="0" applyNumberFormat="1" applyFont="1">
      <alignment vertical="center"/>
    </xf>
    <xf numFmtId="38" fontId="8" fillId="0" borderId="0" xfId="2" applyFont="1" applyAlignment="1">
      <alignment vertical="center"/>
    </xf>
    <xf numFmtId="179" fontId="8" fillId="0" borderId="0" xfId="2" applyNumberFormat="1" applyFont="1" applyAlignment="1">
      <alignment vertical="center"/>
    </xf>
    <xf numFmtId="0" fontId="8" fillId="2" borderId="0" xfId="0" applyFont="1" applyFill="1">
      <alignment vertical="center"/>
    </xf>
    <xf numFmtId="38" fontId="8" fillId="2" borderId="0" xfId="2" applyFont="1" applyFill="1" applyAlignment="1">
      <alignment vertical="center"/>
    </xf>
    <xf numFmtId="179" fontId="8" fillId="2" borderId="0" xfId="2" applyNumberFormat="1" applyFont="1" applyFill="1" applyAlignment="1">
      <alignment vertical="center"/>
    </xf>
    <xf numFmtId="180" fontId="8" fillId="2" borderId="0" xfId="0" applyNumberFormat="1" applyFont="1" applyFill="1">
      <alignment vertical="center"/>
    </xf>
    <xf numFmtId="178" fontId="8" fillId="2" borderId="0" xfId="0" applyNumberFormat="1" applyFont="1" applyFill="1">
      <alignment vertical="center"/>
    </xf>
    <xf numFmtId="3" fontId="1" fillId="0" borderId="3" xfId="0" applyNumberFormat="1" applyFont="1" applyBorder="1">
      <alignment vertical="center"/>
    </xf>
    <xf numFmtId="3" fontId="1" fillId="0" borderId="3" xfId="2" applyNumberFormat="1" applyFont="1" applyBorder="1" applyAlignment="1">
      <alignment vertical="center"/>
    </xf>
    <xf numFmtId="0" fontId="1" fillId="0" borderId="0" xfId="0" applyFont="1" applyAlignment="1">
      <alignment horizontal="right" vertical="center"/>
    </xf>
    <xf numFmtId="2" fontId="1" fillId="0" borderId="2" xfId="0" applyNumberFormat="1" applyFont="1" applyBorder="1">
      <alignment vertical="center"/>
    </xf>
    <xf numFmtId="2" fontId="1" fillId="0" borderId="4" xfId="0" applyNumberFormat="1" applyFont="1" applyBorder="1">
      <alignment vertical="center"/>
    </xf>
    <xf numFmtId="0" fontId="1" fillId="0" borderId="5" xfId="0" applyFont="1" applyBorder="1">
      <alignment vertical="center"/>
    </xf>
    <xf numFmtId="2" fontId="1" fillId="0" borderId="0" xfId="0" applyNumberFormat="1" applyFont="1">
      <alignment vertical="center"/>
    </xf>
    <xf numFmtId="3" fontId="1" fillId="2" borderId="0" xfId="0" applyNumberFormat="1" applyFont="1" applyFill="1">
      <alignment vertical="center"/>
    </xf>
    <xf numFmtId="2" fontId="1" fillId="0" borderId="6" xfId="0" applyNumberFormat="1" applyFont="1" applyBorder="1">
      <alignment vertical="center"/>
    </xf>
    <xf numFmtId="2" fontId="1" fillId="0" borderId="7" xfId="0" applyNumberFormat="1" applyFont="1" applyBorder="1">
      <alignment vertical="center"/>
    </xf>
    <xf numFmtId="177" fontId="1" fillId="0" borderId="2" xfId="0" applyNumberFormat="1" applyFont="1" applyBorder="1" applyAlignment="1">
      <alignment horizontal="right" vertical="center"/>
    </xf>
    <xf numFmtId="0" fontId="1" fillId="4" borderId="0" xfId="0" applyFont="1" applyFill="1" applyAlignment="1">
      <alignment horizontal="center" vertical="center"/>
    </xf>
    <xf numFmtId="38" fontId="1" fillId="0" borderId="3" xfId="2" applyFont="1" applyFill="1" applyBorder="1" applyAlignment="1">
      <alignment vertical="center"/>
    </xf>
    <xf numFmtId="38" fontId="1" fillId="0" borderId="1" xfId="2" applyFont="1" applyBorder="1" applyAlignment="1">
      <alignment vertical="center"/>
    </xf>
    <xf numFmtId="0" fontId="9" fillId="5" borderId="8" xfId="0" applyFont="1" applyFill="1" applyBorder="1">
      <alignment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1" fillId="6" borderId="3" xfId="0" applyFont="1" applyFill="1" applyBorder="1">
      <alignment vertical="center"/>
    </xf>
    <xf numFmtId="38" fontId="1" fillId="6" borderId="3" xfId="2" applyFont="1" applyFill="1" applyBorder="1" applyAlignment="1">
      <alignment vertical="center"/>
    </xf>
    <xf numFmtId="3" fontId="1" fillId="6" borderId="3" xfId="0" applyNumberFormat="1" applyFont="1" applyFill="1" applyBorder="1">
      <alignment vertical="center"/>
    </xf>
    <xf numFmtId="0" fontId="1" fillId="6" borderId="1" xfId="0" applyFont="1" applyFill="1" applyBorder="1">
      <alignment vertical="center"/>
    </xf>
    <xf numFmtId="38" fontId="1" fillId="6" borderId="1" xfId="0" applyNumberFormat="1" applyFont="1" applyFill="1" applyBorder="1">
      <alignment vertical="center"/>
    </xf>
    <xf numFmtId="0" fontId="1" fillId="6" borderId="4" xfId="0" applyFont="1" applyFill="1" applyBorder="1">
      <alignment vertical="center"/>
    </xf>
    <xf numFmtId="38" fontId="1" fillId="6" borderId="4" xfId="0" applyNumberFormat="1" applyFont="1" applyFill="1" applyBorder="1">
      <alignment vertical="center"/>
    </xf>
    <xf numFmtId="3" fontId="1" fillId="6" borderId="4" xfId="0" applyNumberFormat="1" applyFont="1" applyFill="1" applyBorder="1">
      <alignment vertical="center"/>
    </xf>
    <xf numFmtId="38" fontId="1" fillId="6" borderId="4" xfId="2" applyFont="1" applyFill="1" applyBorder="1" applyAlignment="1">
      <alignment vertical="center"/>
    </xf>
    <xf numFmtId="3" fontId="1" fillId="6" borderId="4" xfId="2" applyNumberFormat="1" applyFont="1" applyFill="1" applyBorder="1" applyAlignment="1">
      <alignment vertical="center"/>
    </xf>
    <xf numFmtId="38" fontId="1" fillId="6" borderId="1" xfId="2" applyFont="1" applyFill="1" applyBorder="1" applyAlignment="1">
      <alignment vertical="center"/>
    </xf>
    <xf numFmtId="0" fontId="1" fillId="7" borderId="1" xfId="0" applyFont="1" applyFill="1" applyBorder="1">
      <alignment vertical="center"/>
    </xf>
    <xf numFmtId="0" fontId="10" fillId="7" borderId="1" xfId="0" applyFont="1" applyFill="1" applyBorder="1">
      <alignment vertical="center"/>
    </xf>
    <xf numFmtId="38" fontId="10" fillId="7" borderId="1" xfId="2" applyFont="1" applyFill="1" applyBorder="1" applyAlignment="1">
      <alignment vertical="center"/>
    </xf>
    <xf numFmtId="0" fontId="5" fillId="0" borderId="3" xfId="0" applyFont="1" applyBorder="1">
      <alignment vertical="center"/>
    </xf>
    <xf numFmtId="0" fontId="5" fillId="0" borderId="2" xfId="0" applyFont="1" applyBorder="1">
      <alignment vertical="center"/>
    </xf>
    <xf numFmtId="38" fontId="1" fillId="4" borderId="2" xfId="2" applyFont="1" applyFill="1" applyBorder="1" applyAlignment="1">
      <alignment vertical="center"/>
    </xf>
    <xf numFmtId="176" fontId="1" fillId="4" borderId="2" xfId="0" applyNumberFormat="1" applyFont="1" applyFill="1" applyBorder="1">
      <alignment vertical="center"/>
    </xf>
    <xf numFmtId="38" fontId="1" fillId="4" borderId="3" xfId="2" applyFont="1" applyFill="1" applyBorder="1" applyAlignment="1">
      <alignment vertical="center"/>
    </xf>
    <xf numFmtId="38" fontId="1" fillId="4" borderId="4" xfId="2" applyFont="1" applyFill="1" applyBorder="1" applyAlignment="1">
      <alignment vertical="center"/>
    </xf>
    <xf numFmtId="176" fontId="1" fillId="4" borderId="3" xfId="1" applyNumberFormat="1" applyFont="1" applyFill="1" applyBorder="1" applyAlignment="1">
      <alignment vertical="center"/>
    </xf>
    <xf numFmtId="38" fontId="1" fillId="0" borderId="0" xfId="0" applyNumberFormat="1" applyFont="1">
      <alignment vertical="center"/>
    </xf>
    <xf numFmtId="2" fontId="1" fillId="2" borderId="0" xfId="0" applyNumberFormat="1" applyFont="1" applyFill="1">
      <alignment vertical="center"/>
    </xf>
    <xf numFmtId="0" fontId="11" fillId="0" borderId="0" xfId="0" applyFont="1">
      <alignment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1" fillId="0" borderId="7" xfId="0" applyFont="1" applyBorder="1" applyAlignment="1">
      <alignment horizontal="left" vertical="center" wrapText="1"/>
    </xf>
    <xf numFmtId="2" fontId="1" fillId="4" borderId="5" xfId="0" applyNumberFormat="1" applyFont="1" applyFill="1" applyBorder="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72"/>
  <sheetViews>
    <sheetView showGridLines="0" tabSelected="1" zoomScale="80" zoomScaleNormal="80" zoomScaleSheetLayoutView="100" workbookViewId="0">
      <selection activeCell="K179" sqref="K179"/>
    </sheetView>
  </sheetViews>
  <sheetFormatPr defaultColWidth="11" defaultRowHeight="16"/>
  <cols>
    <col min="1" max="1" width="0.6328125" style="1" customWidth="1"/>
    <col min="2" max="2" width="16.08984375" style="1" customWidth="1"/>
    <col min="3" max="3" width="9" style="1" customWidth="1"/>
    <col min="4" max="4" width="4.36328125" style="1" customWidth="1"/>
    <col min="5" max="5" width="16.08984375" style="1" customWidth="1"/>
    <col min="6" max="6" width="9" style="1" customWidth="1"/>
    <col min="7" max="7" width="3" style="1" customWidth="1"/>
    <col min="8" max="8" width="16.08984375" style="1" customWidth="1"/>
    <col min="9" max="9" width="9" style="1" customWidth="1"/>
    <col min="10" max="10" width="5.6328125" style="1" customWidth="1"/>
    <col min="11" max="11" width="17.7265625" style="1" customWidth="1"/>
    <col min="12" max="18" width="10.26953125" style="1" customWidth="1"/>
    <col min="19" max="19" width="5.6328125" style="1" customWidth="1"/>
    <col min="20" max="20" width="17.08984375" style="1" customWidth="1"/>
    <col min="21" max="27" width="10.36328125" style="1" customWidth="1"/>
    <col min="28" max="16384" width="11" style="1"/>
  </cols>
  <sheetData>
    <row r="1" spans="2:35" ht="22.5" customHeight="1">
      <c r="B1" s="15" t="s">
        <v>127</v>
      </c>
    </row>
    <row r="2" spans="2:35" ht="30" customHeight="1">
      <c r="B2" s="81" t="s">
        <v>102</v>
      </c>
      <c r="C2" s="81"/>
      <c r="D2" s="81"/>
      <c r="E2" s="81"/>
      <c r="F2" s="81"/>
      <c r="G2" s="81"/>
      <c r="H2" s="81"/>
      <c r="I2" s="81"/>
      <c r="K2" s="81" t="s">
        <v>104</v>
      </c>
      <c r="L2" s="81"/>
      <c r="M2" s="81"/>
      <c r="N2" s="81"/>
      <c r="O2" s="81"/>
      <c r="P2" s="81"/>
      <c r="Q2" s="81"/>
      <c r="R2" s="81"/>
      <c r="T2" s="81" t="s">
        <v>95</v>
      </c>
      <c r="U2" s="81"/>
      <c r="V2" s="81"/>
      <c r="W2" s="81"/>
      <c r="X2" s="81"/>
      <c r="Y2" s="81"/>
      <c r="Z2" s="81"/>
      <c r="AA2" s="81"/>
    </row>
    <row r="3" spans="2:35" ht="22.5" customHeight="1">
      <c r="I3" s="41" t="s">
        <v>59</v>
      </c>
      <c r="K3" s="2" t="s">
        <v>105</v>
      </c>
      <c r="R3" s="41" t="s">
        <v>59</v>
      </c>
      <c r="T3" s="1" t="s">
        <v>67</v>
      </c>
      <c r="AA3" s="41" t="s">
        <v>72</v>
      </c>
    </row>
    <row r="4" spans="2:35" ht="22.5" customHeight="1">
      <c r="B4" s="1" t="s">
        <v>107</v>
      </c>
      <c r="E4" s="1" t="s">
        <v>109</v>
      </c>
      <c r="H4" s="1" t="s">
        <v>110</v>
      </c>
      <c r="K4" s="53"/>
      <c r="L4" s="54" t="s">
        <v>1</v>
      </c>
      <c r="M4" s="54" t="s">
        <v>2</v>
      </c>
      <c r="N4" s="54" t="s">
        <v>3</v>
      </c>
      <c r="O4" s="54" t="s">
        <v>4</v>
      </c>
      <c r="P4" s="54" t="s">
        <v>5</v>
      </c>
      <c r="Q4" s="54" t="s">
        <v>6</v>
      </c>
      <c r="R4" s="55" t="s">
        <v>7</v>
      </c>
      <c r="T4" s="53"/>
      <c r="U4" s="54" t="s">
        <v>1</v>
      </c>
      <c r="V4" s="54" t="s">
        <v>2</v>
      </c>
      <c r="W4" s="54" t="s">
        <v>3</v>
      </c>
      <c r="X4" s="54" t="s">
        <v>4</v>
      </c>
      <c r="Y4" s="54" t="s">
        <v>5</v>
      </c>
      <c r="Z4" s="54" t="s">
        <v>6</v>
      </c>
      <c r="AA4" s="55" t="s">
        <v>7</v>
      </c>
    </row>
    <row r="5" spans="2:35" ht="22.5" customHeight="1">
      <c r="B5" s="4" t="s">
        <v>0</v>
      </c>
      <c r="C5" s="72">
        <v>3500</v>
      </c>
      <c r="E5" s="4" t="s">
        <v>78</v>
      </c>
      <c r="F5" s="72">
        <v>0</v>
      </c>
      <c r="H5" s="71" t="s">
        <v>112</v>
      </c>
      <c r="I5" s="72">
        <v>600</v>
      </c>
      <c r="K5" s="4" t="s">
        <v>0</v>
      </c>
      <c r="L5" s="5">
        <f>C5</f>
        <v>3500</v>
      </c>
      <c r="M5" s="8">
        <f>L5*C6</f>
        <v>3675</v>
      </c>
      <c r="N5" s="8">
        <f>M5*C6</f>
        <v>3858.75</v>
      </c>
      <c r="O5" s="8">
        <f>N5*C6</f>
        <v>4051.6875</v>
      </c>
      <c r="P5" s="8">
        <f>O5*C6</f>
        <v>4254.2718750000004</v>
      </c>
      <c r="Q5" s="8">
        <f>P5*C6</f>
        <v>4466.985468750001</v>
      </c>
      <c r="R5" s="8">
        <f>Q5*C6</f>
        <v>4690.3347421875014</v>
      </c>
      <c r="T5" s="4" t="s">
        <v>68</v>
      </c>
      <c r="U5" s="48">
        <f t="shared" ref="U5:AA5" si="0">L14/L24*100</f>
        <v>-0.50251256281407031</v>
      </c>
      <c r="V5" s="42">
        <f t="shared" si="0"/>
        <v>9.1324200913241995</v>
      </c>
      <c r="W5" s="48">
        <f t="shared" si="0"/>
        <v>16.172248803827753</v>
      </c>
      <c r="X5" s="42">
        <f t="shared" si="0"/>
        <v>19.897796231236025</v>
      </c>
      <c r="Y5" s="48">
        <f t="shared" si="0"/>
        <v>21.581297728086742</v>
      </c>
      <c r="Z5" s="42">
        <f t="shared" si="0"/>
        <v>22.294738638753302</v>
      </c>
      <c r="AA5" s="42">
        <f t="shared" si="0"/>
        <v>21.406187418809104</v>
      </c>
    </row>
    <row r="6" spans="2:35" ht="22.5" customHeight="1">
      <c r="B6" s="44" t="s">
        <v>85</v>
      </c>
      <c r="C6" s="83">
        <v>1.05</v>
      </c>
      <c r="E6" s="6" t="s">
        <v>80</v>
      </c>
      <c r="F6" s="74">
        <v>0</v>
      </c>
      <c r="H6" s="6" t="s">
        <v>8</v>
      </c>
      <c r="I6" s="74">
        <v>700</v>
      </c>
      <c r="K6" s="6" t="s">
        <v>10</v>
      </c>
      <c r="L6" s="7">
        <f t="shared" ref="L6:R6" si="1">ROUND(L5*$C$9,0)</f>
        <v>1750</v>
      </c>
      <c r="M6" s="7">
        <f t="shared" si="1"/>
        <v>1838</v>
      </c>
      <c r="N6" s="7">
        <f t="shared" si="1"/>
        <v>1929</v>
      </c>
      <c r="O6" s="7">
        <f t="shared" si="1"/>
        <v>2026</v>
      </c>
      <c r="P6" s="7">
        <f t="shared" si="1"/>
        <v>2127</v>
      </c>
      <c r="Q6" s="7">
        <f t="shared" si="1"/>
        <v>2233</v>
      </c>
      <c r="R6" s="7">
        <f t="shared" si="1"/>
        <v>2345</v>
      </c>
      <c r="T6" s="6" t="s">
        <v>81</v>
      </c>
      <c r="U6" s="45">
        <f t="shared" ref="U6:AA6" si="2">L14/L25*100</f>
        <v>-0.21732282288299187</v>
      </c>
      <c r="V6" s="12">
        <f t="shared" si="2"/>
        <v>4.336043088418549</v>
      </c>
      <c r="W6" s="45">
        <f t="shared" si="2"/>
        <v>8.725961233457987</v>
      </c>
      <c r="X6" s="12">
        <f t="shared" si="2"/>
        <v>12.259643950160704</v>
      </c>
      <c r="Y6" s="45">
        <f t="shared" si="2"/>
        <v>14.986235781833116</v>
      </c>
      <c r="Z6" s="12">
        <f t="shared" si="2"/>
        <v>17.104384865811198</v>
      </c>
      <c r="AA6" s="12">
        <f t="shared" si="2"/>
        <v>17.726664244406678</v>
      </c>
    </row>
    <row r="7" spans="2:35" ht="22.5" customHeight="1">
      <c r="E7" s="70" t="s">
        <v>111</v>
      </c>
      <c r="F7" s="74">
        <v>0</v>
      </c>
      <c r="H7" s="6" t="s">
        <v>9</v>
      </c>
      <c r="I7" s="76">
        <v>2.5000000000000001E-2</v>
      </c>
      <c r="K7" s="56" t="s">
        <v>75</v>
      </c>
      <c r="L7" s="57">
        <f>L5-L6</f>
        <v>1750</v>
      </c>
      <c r="M7" s="57">
        <f t="shared" ref="M7:R7" si="3">M5-M6</f>
        <v>1837</v>
      </c>
      <c r="N7" s="57">
        <f t="shared" si="3"/>
        <v>1929.75</v>
      </c>
      <c r="O7" s="57">
        <f t="shared" si="3"/>
        <v>2025.6875</v>
      </c>
      <c r="P7" s="57">
        <f t="shared" si="3"/>
        <v>2127.2718750000004</v>
      </c>
      <c r="Q7" s="57">
        <f t="shared" si="3"/>
        <v>2233.985468750001</v>
      </c>
      <c r="R7" s="57">
        <f t="shared" si="3"/>
        <v>2345.3347421875014</v>
      </c>
      <c r="T7" s="6" t="s">
        <v>73</v>
      </c>
      <c r="U7" s="45">
        <f>L11/L5*100</f>
        <v>-8.5714285714285715E-2</v>
      </c>
      <c r="V7" s="12">
        <f t="shared" ref="V7:AA7" si="4">M11/M5*100</f>
        <v>2.3401360544217686</v>
      </c>
      <c r="W7" s="45">
        <f t="shared" si="4"/>
        <v>4.6841593780369291</v>
      </c>
      <c r="X7" s="12">
        <f t="shared" si="4"/>
        <v>6.8783068783068781</v>
      </c>
      <c r="Y7" s="45">
        <f t="shared" si="4"/>
        <v>9.032612073011915</v>
      </c>
      <c r="Z7" s="12">
        <f t="shared" si="4"/>
        <v>11.46154318906415</v>
      </c>
      <c r="AA7" s="12">
        <f t="shared" si="4"/>
        <v>13.332411790631701</v>
      </c>
    </row>
    <row r="8" spans="2:35" ht="22.5" customHeight="1">
      <c r="B8" s="1" t="s">
        <v>108</v>
      </c>
      <c r="E8" s="70" t="s">
        <v>79</v>
      </c>
      <c r="F8" s="74">
        <v>200</v>
      </c>
      <c r="H8" s="6" t="s">
        <v>12</v>
      </c>
      <c r="I8" s="74">
        <v>10</v>
      </c>
      <c r="K8" s="6" t="s">
        <v>13</v>
      </c>
      <c r="L8" s="7">
        <f>ROUND($C$10+$C$11+$C$12+L42+L43+L44+L45+L46+L53+L57,0)</f>
        <v>1716</v>
      </c>
      <c r="M8" s="7">
        <f t="shared" ref="M8:R8" si="5">ROUND($C$10+$C$11+$C$12+M42+M43+M44+M45+M46+M53+M57,0)</f>
        <v>1716</v>
      </c>
      <c r="N8" s="7">
        <f t="shared" si="5"/>
        <v>1715</v>
      </c>
      <c r="O8" s="7">
        <f t="shared" si="5"/>
        <v>1715</v>
      </c>
      <c r="P8" s="7">
        <f t="shared" si="5"/>
        <v>1713</v>
      </c>
      <c r="Q8" s="7">
        <f t="shared" si="5"/>
        <v>1714</v>
      </c>
      <c r="R8" s="7">
        <f t="shared" si="5"/>
        <v>1713</v>
      </c>
      <c r="T8" s="6" t="s">
        <v>89</v>
      </c>
      <c r="U8" s="45">
        <f t="shared" ref="U8:AA8" si="6">L5/L25*100</f>
        <v>253.54329336349051</v>
      </c>
      <c r="V8" s="12">
        <f t="shared" si="6"/>
        <v>265.58263916563612</v>
      </c>
      <c r="W8" s="45">
        <f t="shared" si="6"/>
        <v>265.65130500675355</v>
      </c>
      <c r="X8" s="12">
        <f t="shared" si="6"/>
        <v>255.13834297177144</v>
      </c>
      <c r="Y8" s="45">
        <f t="shared" si="6"/>
        <v>236.77007262184802</v>
      </c>
      <c r="Z8" s="12">
        <f t="shared" si="6"/>
        <v>213.4305588276363</v>
      </c>
      <c r="AA8" s="12">
        <f t="shared" si="6"/>
        <v>190.11521644211547</v>
      </c>
    </row>
    <row r="9" spans="2:35" ht="22.5" customHeight="1">
      <c r="B9" s="4" t="s">
        <v>11</v>
      </c>
      <c r="C9" s="73">
        <v>0.5</v>
      </c>
      <c r="E9" s="70" t="s">
        <v>111</v>
      </c>
      <c r="F9" s="74">
        <v>15</v>
      </c>
      <c r="H9" s="6" t="s">
        <v>15</v>
      </c>
      <c r="I9" s="74">
        <v>0</v>
      </c>
      <c r="K9" s="56" t="s">
        <v>76</v>
      </c>
      <c r="L9" s="57">
        <f>L7-L8</f>
        <v>34</v>
      </c>
      <c r="M9" s="57">
        <f t="shared" ref="M9:R9" si="7">M7-M8</f>
        <v>121</v>
      </c>
      <c r="N9" s="57">
        <f t="shared" si="7"/>
        <v>214.75</v>
      </c>
      <c r="O9" s="57">
        <f t="shared" si="7"/>
        <v>310.6875</v>
      </c>
      <c r="P9" s="57">
        <f t="shared" si="7"/>
        <v>414.27187500000036</v>
      </c>
      <c r="Q9" s="57">
        <f t="shared" si="7"/>
        <v>519.98546875000102</v>
      </c>
      <c r="R9" s="57">
        <f t="shared" si="7"/>
        <v>632.33474218750143</v>
      </c>
      <c r="T9" s="10" t="s">
        <v>90</v>
      </c>
      <c r="U9" s="47">
        <f t="shared" ref="U9:AA9" si="8">L5/L38*100</f>
        <v>600</v>
      </c>
      <c r="V9" s="43">
        <f t="shared" si="8"/>
        <v>600</v>
      </c>
      <c r="W9" s="47">
        <f t="shared" si="8"/>
        <v>600</v>
      </c>
      <c r="X9" s="43">
        <f t="shared" si="8"/>
        <v>600</v>
      </c>
      <c r="Y9" s="47">
        <f t="shared" si="8"/>
        <v>600</v>
      </c>
      <c r="Z9" s="43">
        <f t="shared" si="8"/>
        <v>600</v>
      </c>
      <c r="AA9" s="43">
        <f t="shared" si="8"/>
        <v>600</v>
      </c>
    </row>
    <row r="10" spans="2:35" ht="22.5" customHeight="1">
      <c r="B10" s="6" t="s">
        <v>14</v>
      </c>
      <c r="C10" s="74">
        <v>1100</v>
      </c>
      <c r="E10" s="6" t="s">
        <v>46</v>
      </c>
      <c r="F10" s="74">
        <v>100</v>
      </c>
      <c r="H10" s="6"/>
      <c r="I10" s="7"/>
      <c r="K10" s="6" t="s">
        <v>16</v>
      </c>
      <c r="L10" s="7">
        <f t="shared" ref="L10:R10" si="9">ROUND(L61+L63,0)</f>
        <v>37</v>
      </c>
      <c r="M10" s="7">
        <f t="shared" si="9"/>
        <v>35</v>
      </c>
      <c r="N10" s="7">
        <f t="shared" si="9"/>
        <v>34</v>
      </c>
      <c r="O10" s="7">
        <f t="shared" si="9"/>
        <v>32</v>
      </c>
      <c r="P10" s="7">
        <f t="shared" si="9"/>
        <v>30</v>
      </c>
      <c r="Q10" s="7">
        <f t="shared" si="9"/>
        <v>8</v>
      </c>
      <c r="R10" s="7">
        <f t="shared" si="9"/>
        <v>7</v>
      </c>
      <c r="T10" s="82" t="s">
        <v>74</v>
      </c>
      <c r="U10" s="82"/>
      <c r="V10" s="82"/>
      <c r="W10" s="82"/>
      <c r="X10" s="82"/>
      <c r="Y10" s="82"/>
      <c r="Z10" s="82"/>
      <c r="AA10" s="82"/>
    </row>
    <row r="11" spans="2:35" ht="22.5" customHeight="1">
      <c r="B11" s="6" t="s">
        <v>17</v>
      </c>
      <c r="C11" s="74">
        <v>600</v>
      </c>
      <c r="E11" s="6" t="s">
        <v>19</v>
      </c>
      <c r="F11" s="74">
        <v>0</v>
      </c>
      <c r="H11" s="6"/>
      <c r="I11" s="7"/>
      <c r="K11" s="56" t="s">
        <v>77</v>
      </c>
      <c r="L11" s="57">
        <f>L9-L10</f>
        <v>-3</v>
      </c>
      <c r="M11" s="57">
        <f t="shared" ref="M11:R11" si="10">M9-M10</f>
        <v>86</v>
      </c>
      <c r="N11" s="57">
        <f t="shared" si="10"/>
        <v>180.75</v>
      </c>
      <c r="O11" s="57">
        <f t="shared" si="10"/>
        <v>278.6875</v>
      </c>
      <c r="P11" s="57">
        <f t="shared" si="10"/>
        <v>384.27187500000036</v>
      </c>
      <c r="Q11" s="57">
        <f t="shared" si="10"/>
        <v>511.98546875000102</v>
      </c>
      <c r="R11" s="57">
        <f t="shared" si="10"/>
        <v>625.33474218750143</v>
      </c>
      <c r="T11" s="80"/>
      <c r="U11" s="80"/>
      <c r="V11" s="80"/>
      <c r="W11" s="80"/>
      <c r="X11" s="80"/>
      <c r="Y11" s="80"/>
      <c r="Z11" s="80"/>
      <c r="AA11" s="80"/>
    </row>
    <row r="12" spans="2:35" ht="22.5" customHeight="1">
      <c r="B12" s="10" t="s">
        <v>18</v>
      </c>
      <c r="C12" s="75">
        <v>0</v>
      </c>
      <c r="E12" s="6" t="s">
        <v>86</v>
      </c>
      <c r="F12" s="74">
        <v>700</v>
      </c>
      <c r="H12" s="6"/>
      <c r="I12" s="7"/>
      <c r="K12" s="56" t="s">
        <v>100</v>
      </c>
      <c r="L12" s="58">
        <f t="shared" ref="L12:R12" si="11">L5-L6-L8-L10</f>
        <v>-3</v>
      </c>
      <c r="M12" s="58">
        <f t="shared" si="11"/>
        <v>86</v>
      </c>
      <c r="N12" s="58">
        <f t="shared" si="11"/>
        <v>180.75</v>
      </c>
      <c r="O12" s="58">
        <f t="shared" si="11"/>
        <v>278.6875</v>
      </c>
      <c r="P12" s="58">
        <f t="shared" si="11"/>
        <v>384.27187500000036</v>
      </c>
      <c r="Q12" s="58">
        <f t="shared" si="11"/>
        <v>511.98546875000102</v>
      </c>
      <c r="R12" s="58">
        <f t="shared" si="11"/>
        <v>625.33474218750143</v>
      </c>
      <c r="T12" s="80" t="s">
        <v>82</v>
      </c>
      <c r="U12" s="80"/>
      <c r="V12" s="80"/>
      <c r="W12" s="80"/>
      <c r="X12" s="80"/>
      <c r="Y12" s="80"/>
      <c r="Z12" s="80"/>
      <c r="AA12" s="80"/>
    </row>
    <row r="13" spans="2:35" ht="22.5" customHeight="1">
      <c r="E13" s="10" t="s">
        <v>22</v>
      </c>
      <c r="F13" s="75">
        <v>300</v>
      </c>
      <c r="H13" s="10"/>
      <c r="I13" s="10"/>
      <c r="K13" s="6" t="s">
        <v>20</v>
      </c>
      <c r="L13" s="40">
        <f>ROUND(IF(L12*0.3&gt;0,L12*0.3,0),0)</f>
        <v>0</v>
      </c>
      <c r="M13" s="40">
        <f t="shared" ref="M13:R13" si="12">ROUND(IF(M12*0.3&gt;0,M12*0.3,0),0)</f>
        <v>26</v>
      </c>
      <c r="N13" s="40">
        <f t="shared" si="12"/>
        <v>54</v>
      </c>
      <c r="O13" s="40">
        <f t="shared" si="12"/>
        <v>84</v>
      </c>
      <c r="P13" s="40">
        <f t="shared" si="12"/>
        <v>115</v>
      </c>
      <c r="Q13" s="40">
        <f t="shared" si="12"/>
        <v>154</v>
      </c>
      <c r="R13" s="40">
        <f t="shared" si="12"/>
        <v>188</v>
      </c>
      <c r="T13" s="80"/>
      <c r="U13" s="80"/>
      <c r="V13" s="80"/>
      <c r="W13" s="80"/>
      <c r="X13" s="80"/>
      <c r="Y13" s="80"/>
      <c r="Z13" s="80"/>
      <c r="AA13" s="80"/>
    </row>
    <row r="14" spans="2:35" ht="22.5" customHeight="1">
      <c r="E14" s="68" t="s">
        <v>24</v>
      </c>
      <c r="F14" s="69">
        <f>F5+F6+F8+F10+F11+F12+F13</f>
        <v>1300</v>
      </c>
      <c r="H14" s="68" t="s">
        <v>25</v>
      </c>
      <c r="I14" s="69">
        <f>I5+I6+I9</f>
        <v>1300</v>
      </c>
      <c r="K14" s="67" t="s">
        <v>101</v>
      </c>
      <c r="L14" s="60">
        <f>L12-L13</f>
        <v>-3</v>
      </c>
      <c r="M14" s="60">
        <f t="shared" ref="M14:R14" si="13">M12-M13</f>
        <v>60</v>
      </c>
      <c r="N14" s="60">
        <f t="shared" si="13"/>
        <v>126.75</v>
      </c>
      <c r="O14" s="60">
        <f t="shared" si="13"/>
        <v>194.6875</v>
      </c>
      <c r="P14" s="60">
        <f t="shared" si="13"/>
        <v>269.27187500000036</v>
      </c>
      <c r="Q14" s="60">
        <f t="shared" si="13"/>
        <v>357.98546875000102</v>
      </c>
      <c r="R14" s="60">
        <f t="shared" si="13"/>
        <v>437.33474218750143</v>
      </c>
      <c r="T14" s="80" t="s">
        <v>91</v>
      </c>
      <c r="U14" s="80"/>
      <c r="V14" s="80"/>
      <c r="W14" s="80"/>
      <c r="X14" s="80"/>
      <c r="Y14" s="80"/>
      <c r="Z14" s="80"/>
      <c r="AA14" s="80"/>
    </row>
    <row r="15" spans="2:35" ht="22.5" customHeight="1">
      <c r="B15" s="1" t="s">
        <v>63</v>
      </c>
      <c r="K15" s="10" t="s">
        <v>113</v>
      </c>
      <c r="L15" s="11">
        <f t="shared" ref="L15:R15" si="14">L5*L37</f>
        <v>3506</v>
      </c>
      <c r="M15" s="11">
        <f t="shared" si="14"/>
        <v>3502.9531845400111</v>
      </c>
      <c r="N15" s="11">
        <f t="shared" si="14"/>
        <v>3497.3202487368831</v>
      </c>
      <c r="O15" s="11">
        <f t="shared" si="14"/>
        <v>3494.2695072660517</v>
      </c>
      <c r="P15" s="11">
        <f t="shared" si="14"/>
        <v>3485.7772366895974</v>
      </c>
      <c r="Q15" s="11">
        <f t="shared" si="14"/>
        <v>3443.2403812776583</v>
      </c>
      <c r="R15" s="11">
        <f t="shared" si="14"/>
        <v>3439.7545098564628</v>
      </c>
      <c r="T15" s="80"/>
      <c r="U15" s="80"/>
      <c r="V15" s="80"/>
      <c r="W15" s="80"/>
      <c r="X15" s="80"/>
      <c r="Y15" s="80"/>
      <c r="Z15" s="80"/>
      <c r="AA15" s="80"/>
      <c r="AC15" s="77"/>
      <c r="AD15" s="77"/>
      <c r="AE15" s="77"/>
      <c r="AF15" s="77"/>
      <c r="AG15" s="77"/>
      <c r="AH15" s="77"/>
      <c r="AI15" s="77"/>
    </row>
    <row r="16" spans="2:35" ht="22.5" customHeight="1">
      <c r="B16" s="1" t="s">
        <v>65</v>
      </c>
      <c r="K16" s="1" t="s">
        <v>106</v>
      </c>
      <c r="R16" s="41" t="s">
        <v>59</v>
      </c>
      <c r="T16" s="80"/>
      <c r="U16" s="80"/>
      <c r="V16" s="80"/>
      <c r="W16" s="80"/>
      <c r="X16" s="80"/>
      <c r="Y16" s="80"/>
      <c r="Z16" s="80"/>
      <c r="AA16" s="80"/>
    </row>
    <row r="17" spans="2:27" ht="22.5" customHeight="1">
      <c r="B17" s="1" t="s">
        <v>66</v>
      </c>
      <c r="K17" s="53"/>
      <c r="L17" s="54" t="s">
        <v>1</v>
      </c>
      <c r="M17" s="54" t="s">
        <v>2</v>
      </c>
      <c r="N17" s="54" t="s">
        <v>3</v>
      </c>
      <c r="O17" s="54" t="s">
        <v>4</v>
      </c>
      <c r="P17" s="54" t="s">
        <v>5</v>
      </c>
      <c r="Q17" s="54" t="s">
        <v>6</v>
      </c>
      <c r="R17" s="55" t="s">
        <v>7</v>
      </c>
      <c r="T17" s="80" t="s">
        <v>92</v>
      </c>
      <c r="U17" s="80"/>
      <c r="V17" s="80"/>
      <c r="W17" s="80"/>
      <c r="X17" s="80"/>
      <c r="Y17" s="80"/>
      <c r="Z17" s="80"/>
      <c r="AA17" s="80"/>
    </row>
    <row r="18" spans="2:27" ht="22.5" customHeight="1">
      <c r="B18" s="1" t="s">
        <v>64</v>
      </c>
      <c r="K18" s="4" t="s">
        <v>26</v>
      </c>
      <c r="L18" s="18">
        <f t="shared" ref="L18:R18" si="15">L29+L35+L30</f>
        <v>1113.4348573252339</v>
      </c>
      <c r="M18" s="18">
        <f t="shared" si="15"/>
        <v>1149.7500868074471</v>
      </c>
      <c r="N18" s="18">
        <f t="shared" si="15"/>
        <v>1251.5620342433103</v>
      </c>
      <c r="O18" s="18">
        <f t="shared" si="15"/>
        <v>1420.0355154804306</v>
      </c>
      <c r="P18" s="18">
        <f t="shared" si="15"/>
        <v>1661.7945981900398</v>
      </c>
      <c r="Q18" s="18">
        <f t="shared" si="15"/>
        <v>1971.9455900255962</v>
      </c>
      <c r="R18" s="18">
        <f t="shared" si="15"/>
        <v>2359.1011768358744</v>
      </c>
      <c r="T18" s="80"/>
      <c r="U18" s="80"/>
      <c r="V18" s="80"/>
      <c r="W18" s="80"/>
      <c r="X18" s="80"/>
      <c r="Y18" s="80"/>
      <c r="Z18" s="80"/>
      <c r="AA18" s="80"/>
    </row>
    <row r="19" spans="2:27" ht="22.5" customHeight="1">
      <c r="B19" s="1" t="s">
        <v>62</v>
      </c>
      <c r="K19" s="6" t="s">
        <v>27</v>
      </c>
      <c r="L19" s="9">
        <f t="shared" ref="L19:R19" si="16">$F$5+$F$11+M52+M56</f>
        <v>187</v>
      </c>
      <c r="M19" s="9">
        <f t="shared" si="16"/>
        <v>174</v>
      </c>
      <c r="N19" s="9">
        <f t="shared" si="16"/>
        <v>161</v>
      </c>
      <c r="O19" s="9">
        <f t="shared" si="16"/>
        <v>148</v>
      </c>
      <c r="P19" s="9">
        <f t="shared" si="16"/>
        <v>135</v>
      </c>
      <c r="Q19" s="9">
        <f t="shared" si="16"/>
        <v>121</v>
      </c>
      <c r="R19" s="9">
        <f t="shared" si="16"/>
        <v>108</v>
      </c>
      <c r="T19" s="80"/>
      <c r="U19" s="80"/>
      <c r="V19" s="80"/>
      <c r="W19" s="80"/>
      <c r="X19" s="80"/>
      <c r="Y19" s="80"/>
      <c r="Z19" s="80"/>
      <c r="AA19" s="80"/>
    </row>
    <row r="20" spans="2:27" ht="22.5" customHeight="1">
      <c r="B20" s="1" t="s">
        <v>115</v>
      </c>
      <c r="K20" s="6" t="s">
        <v>28</v>
      </c>
      <c r="L20" s="9">
        <f t="shared" ref="L20:Q20" si="17">M60</f>
        <v>80</v>
      </c>
      <c r="M20" s="9">
        <f t="shared" si="17"/>
        <v>60</v>
      </c>
      <c r="N20" s="9">
        <f t="shared" si="17"/>
        <v>40</v>
      </c>
      <c r="O20" s="9">
        <f t="shared" si="17"/>
        <v>20</v>
      </c>
      <c r="P20" s="9">
        <f t="shared" si="17"/>
        <v>0</v>
      </c>
      <c r="Q20" s="9">
        <f t="shared" si="17"/>
        <v>0</v>
      </c>
      <c r="R20" s="9">
        <f>S60</f>
        <v>0</v>
      </c>
      <c r="T20" s="80" t="s">
        <v>124</v>
      </c>
      <c r="U20" s="80"/>
      <c r="V20" s="80"/>
      <c r="W20" s="80"/>
      <c r="X20" s="80"/>
      <c r="Y20" s="80"/>
      <c r="Z20" s="80"/>
      <c r="AA20" s="80"/>
    </row>
    <row r="21" spans="2:27" ht="22.5" customHeight="1">
      <c r="B21" s="1" t="s">
        <v>118</v>
      </c>
      <c r="D21" s="50">
        <v>10</v>
      </c>
      <c r="E21" s="1" t="s">
        <v>116</v>
      </c>
      <c r="K21" s="61" t="s">
        <v>29</v>
      </c>
      <c r="L21" s="62">
        <f t="shared" ref="L21:R21" si="18">SUM(L18:L20)</f>
        <v>1380.4348573252339</v>
      </c>
      <c r="M21" s="62">
        <f t="shared" si="18"/>
        <v>1383.7500868074471</v>
      </c>
      <c r="N21" s="63">
        <f t="shared" si="18"/>
        <v>1452.5620342433103</v>
      </c>
      <c r="O21" s="63">
        <f t="shared" si="18"/>
        <v>1588.0355154804306</v>
      </c>
      <c r="P21" s="63">
        <f t="shared" si="18"/>
        <v>1796.7945981900398</v>
      </c>
      <c r="Q21" s="63">
        <f t="shared" si="18"/>
        <v>2092.9455900255962</v>
      </c>
      <c r="R21" s="63">
        <f t="shared" si="18"/>
        <v>2467.1011768358744</v>
      </c>
      <c r="T21" s="80"/>
      <c r="U21" s="80"/>
      <c r="V21" s="80"/>
      <c r="W21" s="80"/>
      <c r="X21" s="80"/>
      <c r="Y21" s="80"/>
      <c r="Z21" s="80"/>
      <c r="AA21" s="80"/>
    </row>
    <row r="22" spans="2:27" ht="22.5" customHeight="1">
      <c r="B22" s="1" t="s">
        <v>117</v>
      </c>
      <c r="D22" s="50">
        <v>2</v>
      </c>
      <c r="E22" s="1" t="s">
        <v>96</v>
      </c>
      <c r="K22" s="4" t="s">
        <v>30</v>
      </c>
      <c r="L22" s="18">
        <f>L31</f>
        <v>145.83333333333334</v>
      </c>
      <c r="M22" s="18">
        <f t="shared" ref="M22:R22" si="19">L22-L31+M31</f>
        <v>153.125</v>
      </c>
      <c r="N22" s="18">
        <f t="shared" si="19"/>
        <v>160.78125</v>
      </c>
      <c r="O22" s="18">
        <f t="shared" si="19"/>
        <v>168.8203125</v>
      </c>
      <c r="P22" s="18">
        <f t="shared" si="19"/>
        <v>177.26132812500001</v>
      </c>
      <c r="Q22" s="18">
        <f t="shared" si="19"/>
        <v>186.12439453125003</v>
      </c>
      <c r="R22" s="18">
        <f t="shared" si="19"/>
        <v>195.43061425781255</v>
      </c>
      <c r="T22" s="80"/>
      <c r="U22" s="80"/>
      <c r="V22" s="80"/>
      <c r="W22" s="80"/>
      <c r="X22" s="80"/>
      <c r="Y22" s="80"/>
      <c r="Z22" s="80"/>
      <c r="AA22" s="80"/>
    </row>
    <row r="23" spans="2:27" ht="22.5" customHeight="1">
      <c r="B23" s="1" t="s">
        <v>98</v>
      </c>
      <c r="D23" s="50">
        <v>1</v>
      </c>
      <c r="E23" s="1" t="s">
        <v>97</v>
      </c>
      <c r="K23" s="6" t="s">
        <v>31</v>
      </c>
      <c r="L23" s="7">
        <f>IF($I$9+I6-L64&gt;0,$I$9+I6-L64,0)</f>
        <v>637.60152399190065</v>
      </c>
      <c r="M23" s="7">
        <f t="shared" ref="M23:R23" si="20">IF(L23-M64&gt;0,L23-M64,0)</f>
        <v>573.62508680744736</v>
      </c>
      <c r="N23" s="7">
        <f t="shared" si="20"/>
        <v>508.03078424331045</v>
      </c>
      <c r="O23" s="7">
        <f t="shared" si="20"/>
        <v>440.77770298043077</v>
      </c>
      <c r="P23" s="7">
        <f t="shared" si="20"/>
        <v>371.82389506503989</v>
      </c>
      <c r="Q23" s="7">
        <f t="shared" si="20"/>
        <v>301.12635174434524</v>
      </c>
      <c r="R23" s="7">
        <f t="shared" si="20"/>
        <v>228.64097664055953</v>
      </c>
      <c r="T23" s="80"/>
      <c r="U23" s="80"/>
      <c r="V23" s="80"/>
      <c r="W23" s="80"/>
      <c r="X23" s="80"/>
      <c r="Y23" s="80"/>
      <c r="Z23" s="80"/>
      <c r="AA23" s="80"/>
    </row>
    <row r="24" spans="2:27" ht="22.5" customHeight="1">
      <c r="B24" s="1" t="s">
        <v>123</v>
      </c>
      <c r="K24" s="6" t="s">
        <v>32</v>
      </c>
      <c r="L24" s="9">
        <f>I5+L14</f>
        <v>597</v>
      </c>
      <c r="M24" s="39">
        <f t="shared" ref="M24:R24" si="21">L24+M14</f>
        <v>657</v>
      </c>
      <c r="N24" s="39">
        <f t="shared" si="21"/>
        <v>783.75</v>
      </c>
      <c r="O24" s="39">
        <f t="shared" si="21"/>
        <v>978.4375</v>
      </c>
      <c r="P24" s="39">
        <f t="shared" si="21"/>
        <v>1247.7093750000004</v>
      </c>
      <c r="Q24" s="39">
        <f t="shared" si="21"/>
        <v>1605.6948437500014</v>
      </c>
      <c r="R24" s="39">
        <f t="shared" si="21"/>
        <v>2043.0295859375028</v>
      </c>
      <c r="T24" s="1" t="s">
        <v>69</v>
      </c>
      <c r="AA24" s="41" t="s">
        <v>72</v>
      </c>
    </row>
    <row r="25" spans="2:27" ht="22.5" customHeight="1">
      <c r="B25" s="1" t="s">
        <v>122</v>
      </c>
      <c r="K25" s="61" t="s">
        <v>99</v>
      </c>
      <c r="L25" s="64">
        <f>SUM(L22:L24)</f>
        <v>1380.4348573252341</v>
      </c>
      <c r="M25" s="65">
        <f t="shared" ref="M25:R25" si="22">SUM(M22:M24)</f>
        <v>1383.7500868074474</v>
      </c>
      <c r="N25" s="65">
        <f t="shared" si="22"/>
        <v>1452.5620342433103</v>
      </c>
      <c r="O25" s="65">
        <f t="shared" si="22"/>
        <v>1588.0355154804308</v>
      </c>
      <c r="P25" s="65">
        <f t="shared" si="22"/>
        <v>1796.7945981900402</v>
      </c>
      <c r="Q25" s="65">
        <f t="shared" si="22"/>
        <v>2092.9455900255966</v>
      </c>
      <c r="R25" s="65">
        <f t="shared" si="22"/>
        <v>2467.1011768358749</v>
      </c>
      <c r="T25" s="53"/>
      <c r="U25" s="54" t="s">
        <v>1</v>
      </c>
      <c r="V25" s="54" t="s">
        <v>2</v>
      </c>
      <c r="W25" s="54" t="s">
        <v>3</v>
      </c>
      <c r="X25" s="54" t="s">
        <v>4</v>
      </c>
      <c r="Y25" s="54" t="s">
        <v>5</v>
      </c>
      <c r="Z25" s="54" t="s">
        <v>6</v>
      </c>
      <c r="AA25" s="55" t="s">
        <v>7</v>
      </c>
    </row>
    <row r="26" spans="2:27" ht="22.5" customHeight="1">
      <c r="B26" s="1" t="s">
        <v>121</v>
      </c>
      <c r="K26" s="1" t="s">
        <v>103</v>
      </c>
      <c r="R26" s="41" t="s">
        <v>59</v>
      </c>
      <c r="T26" s="6" t="s">
        <v>93</v>
      </c>
      <c r="U26" s="49">
        <f>L18/L22*100</f>
        <v>763.49818788016034</v>
      </c>
      <c r="V26" s="49">
        <f t="shared" ref="V26:AA26" si="23">M18/M22*100</f>
        <v>750.8571995477206</v>
      </c>
      <c r="W26" s="49">
        <f t="shared" si="23"/>
        <v>778.42536629321535</v>
      </c>
      <c r="X26" s="49">
        <f t="shared" si="23"/>
        <v>841.1520476722435</v>
      </c>
      <c r="Y26" s="49">
        <f t="shared" si="23"/>
        <v>937.48287670404125</v>
      </c>
      <c r="Z26" s="49">
        <f t="shared" si="23"/>
        <v>1059.4772356368951</v>
      </c>
      <c r="AA26" s="49">
        <f t="shared" si="23"/>
        <v>1207.1297968309827</v>
      </c>
    </row>
    <row r="27" spans="2:27" ht="22.5" customHeight="1">
      <c r="B27" s="1" t="s">
        <v>119</v>
      </c>
      <c r="K27" s="53"/>
      <c r="L27" s="54" t="s">
        <v>1</v>
      </c>
      <c r="M27" s="54" t="s">
        <v>2</v>
      </c>
      <c r="N27" s="54" t="s">
        <v>3</v>
      </c>
      <c r="O27" s="54" t="s">
        <v>4</v>
      </c>
      <c r="P27" s="54" t="s">
        <v>5</v>
      </c>
      <c r="Q27" s="54" t="s">
        <v>6</v>
      </c>
      <c r="R27" s="55" t="s">
        <v>7</v>
      </c>
      <c r="T27" s="6" t="s">
        <v>70</v>
      </c>
      <c r="U27" s="12">
        <f t="shared" ref="U27:AA27" si="24">L24/L25*100</f>
        <v>43.247241753715379</v>
      </c>
      <c r="V27" s="12">
        <f t="shared" si="24"/>
        <v>47.479671818183114</v>
      </c>
      <c r="W27" s="12">
        <f t="shared" si="24"/>
        <v>53.956387508660342</v>
      </c>
      <c r="X27" s="12">
        <f t="shared" si="24"/>
        <v>61.613074170069297</v>
      </c>
      <c r="Y27" s="12">
        <f t="shared" si="24"/>
        <v>69.440846285760855</v>
      </c>
      <c r="Z27" s="12">
        <f t="shared" si="24"/>
        <v>76.719378248641618</v>
      </c>
      <c r="AA27" s="12">
        <f t="shared" si="24"/>
        <v>82.810936378286044</v>
      </c>
    </row>
    <row r="28" spans="2:27" ht="22.5" customHeight="1">
      <c r="B28" s="1" t="s">
        <v>120</v>
      </c>
      <c r="K28" s="4" t="s">
        <v>21</v>
      </c>
      <c r="L28" s="5">
        <f t="shared" ref="L28:R28" si="25">L14</f>
        <v>-3</v>
      </c>
      <c r="M28" s="5">
        <f t="shared" si="25"/>
        <v>60</v>
      </c>
      <c r="N28" s="5">
        <f t="shared" si="25"/>
        <v>126.75</v>
      </c>
      <c r="O28" s="5">
        <f t="shared" si="25"/>
        <v>194.6875</v>
      </c>
      <c r="P28" s="5">
        <f t="shared" si="25"/>
        <v>269.27187500000036</v>
      </c>
      <c r="Q28" s="5">
        <f t="shared" si="25"/>
        <v>357.98546875000102</v>
      </c>
      <c r="R28" s="5">
        <f t="shared" si="25"/>
        <v>437.33474218750143</v>
      </c>
      <c r="T28" s="10" t="s">
        <v>71</v>
      </c>
      <c r="U28" s="43">
        <f>L19/L24*100</f>
        <v>31.323283082077051</v>
      </c>
      <c r="V28" s="43">
        <f t="shared" ref="V28:AA28" si="26">M19/M24*100</f>
        <v>26.484018264840181</v>
      </c>
      <c r="W28" s="43">
        <f t="shared" si="26"/>
        <v>20.542264752791066</v>
      </c>
      <c r="X28" s="43">
        <f t="shared" si="26"/>
        <v>15.12615777706803</v>
      </c>
      <c r="Y28" s="43">
        <f t="shared" si="26"/>
        <v>10.819827333588798</v>
      </c>
      <c r="Z28" s="43">
        <f t="shared" si="26"/>
        <v>7.5356784304925553</v>
      </c>
      <c r="AA28" s="43">
        <f t="shared" si="26"/>
        <v>5.2862670586554961</v>
      </c>
    </row>
    <row r="29" spans="2:27" ht="22.5" customHeight="1">
      <c r="K29" s="6" t="s">
        <v>114</v>
      </c>
      <c r="L29" s="51">
        <f t="shared" ref="L29:R29" si="27">L40</f>
        <v>350</v>
      </c>
      <c r="M29" s="51">
        <f t="shared" si="27"/>
        <v>367.5</v>
      </c>
      <c r="N29" s="51">
        <f t="shared" si="27"/>
        <v>385.875</v>
      </c>
      <c r="O29" s="51">
        <f t="shared" si="27"/>
        <v>405.16874999999999</v>
      </c>
      <c r="P29" s="51">
        <f t="shared" si="27"/>
        <v>425.4271875</v>
      </c>
      <c r="Q29" s="51">
        <f t="shared" si="27"/>
        <v>446.69854687500009</v>
      </c>
      <c r="R29" s="51">
        <f t="shared" si="27"/>
        <v>469.03347421875014</v>
      </c>
      <c r="T29" s="80" t="s">
        <v>94</v>
      </c>
      <c r="U29" s="80"/>
      <c r="V29" s="80"/>
      <c r="W29" s="80"/>
      <c r="X29" s="80"/>
      <c r="Y29" s="80"/>
      <c r="Z29" s="80"/>
      <c r="AA29" s="80"/>
    </row>
    <row r="30" spans="2:27" ht="22.5" customHeight="1">
      <c r="K30" s="6" t="s">
        <v>83</v>
      </c>
      <c r="L30" s="51">
        <f>L38</f>
        <v>583.33333333333337</v>
      </c>
      <c r="M30" s="51">
        <f t="shared" ref="L30:R31" si="28">M38</f>
        <v>612.5</v>
      </c>
      <c r="N30" s="51">
        <f t="shared" si="28"/>
        <v>643.125</v>
      </c>
      <c r="O30" s="51">
        <f t="shared" si="28"/>
        <v>675.28125</v>
      </c>
      <c r="P30" s="51">
        <f t="shared" si="28"/>
        <v>709.04531250000002</v>
      </c>
      <c r="Q30" s="51">
        <f t="shared" si="28"/>
        <v>744.49757812500013</v>
      </c>
      <c r="R30" s="51">
        <f t="shared" si="28"/>
        <v>781.7224570312502</v>
      </c>
      <c r="T30" s="80"/>
      <c r="U30" s="80"/>
      <c r="V30" s="80"/>
      <c r="W30" s="80"/>
      <c r="X30" s="80"/>
      <c r="Y30" s="80"/>
      <c r="Z30" s="80"/>
      <c r="AA30" s="80"/>
    </row>
    <row r="31" spans="2:27" ht="22.5" customHeight="1">
      <c r="K31" s="6" t="s">
        <v>84</v>
      </c>
      <c r="L31" s="51">
        <f t="shared" si="28"/>
        <v>145.83333333333334</v>
      </c>
      <c r="M31" s="51">
        <f t="shared" si="28"/>
        <v>153.125</v>
      </c>
      <c r="N31" s="51">
        <f t="shared" si="28"/>
        <v>160.78125</v>
      </c>
      <c r="O31" s="51">
        <f t="shared" si="28"/>
        <v>168.8203125</v>
      </c>
      <c r="P31" s="51">
        <f t="shared" si="28"/>
        <v>177.26132812500001</v>
      </c>
      <c r="Q31" s="51">
        <f t="shared" si="28"/>
        <v>186.12439453125003</v>
      </c>
      <c r="R31" s="51">
        <f t="shared" si="28"/>
        <v>195.43061425781255</v>
      </c>
      <c r="T31" s="80" t="s">
        <v>125</v>
      </c>
      <c r="U31" s="80"/>
      <c r="V31" s="80"/>
      <c r="W31" s="80"/>
      <c r="X31" s="80"/>
      <c r="Y31" s="80"/>
      <c r="Z31" s="80"/>
      <c r="AA31" s="80"/>
    </row>
    <row r="32" spans="2:27" ht="22.5" customHeight="1">
      <c r="K32" s="6" t="s">
        <v>33</v>
      </c>
      <c r="L32" s="7">
        <f t="shared" ref="L32:R32" si="29">ROUND(L53+L57+L61,0)</f>
        <v>33</v>
      </c>
      <c r="M32" s="7">
        <f t="shared" si="29"/>
        <v>33</v>
      </c>
      <c r="N32" s="7">
        <f t="shared" si="29"/>
        <v>33</v>
      </c>
      <c r="O32" s="7">
        <f t="shared" si="29"/>
        <v>33</v>
      </c>
      <c r="P32" s="7">
        <f t="shared" si="29"/>
        <v>33</v>
      </c>
      <c r="Q32" s="7">
        <f t="shared" si="29"/>
        <v>14</v>
      </c>
      <c r="R32" s="7">
        <f t="shared" si="29"/>
        <v>13</v>
      </c>
      <c r="T32" s="80"/>
      <c r="U32" s="80"/>
      <c r="V32" s="80"/>
      <c r="W32" s="80"/>
      <c r="X32" s="80"/>
      <c r="Y32" s="80"/>
      <c r="Z32" s="80"/>
      <c r="AA32" s="80"/>
    </row>
    <row r="33" spans="11:27" ht="22.5" customHeight="1">
      <c r="K33" s="6" t="s">
        <v>34</v>
      </c>
      <c r="L33" s="7">
        <f t="shared" ref="L33:R33" si="30">L64</f>
        <v>62.398476008099408</v>
      </c>
      <c r="M33" s="7">
        <f t="shared" si="30"/>
        <v>63.97643718445326</v>
      </c>
      <c r="N33" s="7">
        <f t="shared" si="30"/>
        <v>65.594302564136882</v>
      </c>
      <c r="O33" s="7">
        <f t="shared" si="30"/>
        <v>67.253081262879689</v>
      </c>
      <c r="P33" s="7">
        <f t="shared" si="30"/>
        <v>68.953807915390854</v>
      </c>
      <c r="Q33" s="7">
        <f t="shared" si="30"/>
        <v>70.697543320694649</v>
      </c>
      <c r="R33" s="7">
        <f t="shared" si="30"/>
        <v>72.485375103785714</v>
      </c>
      <c r="T33" s="80" t="s">
        <v>126</v>
      </c>
      <c r="U33" s="80"/>
      <c r="V33" s="80"/>
      <c r="W33" s="80"/>
      <c r="X33" s="80"/>
      <c r="Y33" s="80"/>
      <c r="Z33" s="80"/>
      <c r="AA33" s="80"/>
    </row>
    <row r="34" spans="11:27" ht="22.5" customHeight="1">
      <c r="K34" s="3" t="s">
        <v>35</v>
      </c>
      <c r="L34" s="52">
        <f>L28+L32-L33+F13-L29-L30+L31</f>
        <v>-519.89847600809946</v>
      </c>
      <c r="M34" s="52">
        <f t="shared" ref="M34:R34" si="31">M28+M32-M33+L29-M29+L30-M30-L31+M31</f>
        <v>-10.35143718445326</v>
      </c>
      <c r="N34" s="52">
        <f t="shared" si="31"/>
        <v>52.81194743586309</v>
      </c>
      <c r="O34" s="52">
        <f t="shared" si="31"/>
        <v>117.02348123712022</v>
      </c>
      <c r="P34" s="52">
        <f t="shared" si="31"/>
        <v>187.73658270960939</v>
      </c>
      <c r="Q34" s="52">
        <f t="shared" si="31"/>
        <v>253.4273668355562</v>
      </c>
      <c r="R34" s="52">
        <f t="shared" si="31"/>
        <v>327.59578056027817</v>
      </c>
      <c r="T34" s="80"/>
      <c r="U34" s="80"/>
      <c r="V34" s="80"/>
      <c r="W34" s="80"/>
      <c r="X34" s="80"/>
      <c r="Y34" s="80"/>
      <c r="Z34" s="80"/>
      <c r="AA34" s="80"/>
    </row>
    <row r="35" spans="11:27" ht="22.5" customHeight="1">
      <c r="K35" s="59" t="s">
        <v>36</v>
      </c>
      <c r="L35" s="66">
        <f>F12+L34</f>
        <v>180.10152399190054</v>
      </c>
      <c r="M35" s="66">
        <f t="shared" ref="M35:R35" si="32">L35+M34</f>
        <v>169.75008680744727</v>
      </c>
      <c r="N35" s="66">
        <f t="shared" si="32"/>
        <v>222.56203424331036</v>
      </c>
      <c r="O35" s="66">
        <f t="shared" si="32"/>
        <v>339.58551548043056</v>
      </c>
      <c r="P35" s="66">
        <f t="shared" si="32"/>
        <v>527.32209819003992</v>
      </c>
      <c r="Q35" s="66">
        <f t="shared" si="32"/>
        <v>780.74946502559612</v>
      </c>
      <c r="R35" s="66">
        <f t="shared" si="32"/>
        <v>1108.3452455858742</v>
      </c>
    </row>
    <row r="36" spans="11:27" ht="22.5" hidden="1" customHeight="1">
      <c r="L36" s="20"/>
      <c r="M36" s="20"/>
      <c r="N36" s="20"/>
      <c r="O36" s="20"/>
      <c r="P36" s="20"/>
      <c r="Q36" s="20"/>
      <c r="R36" s="20"/>
    </row>
    <row r="37" spans="11:27" ht="22.5" hidden="1" customHeight="1">
      <c r="K37" s="24" t="s">
        <v>23</v>
      </c>
      <c r="L37" s="78">
        <f t="shared" ref="L37:R37" si="33">(L8+L10)/(L5-L6)</f>
        <v>1.0017142857142858</v>
      </c>
      <c r="M37" s="78">
        <f t="shared" si="33"/>
        <v>0.95318454001088737</v>
      </c>
      <c r="N37" s="78">
        <f t="shared" si="33"/>
        <v>0.90633501748931211</v>
      </c>
      <c r="O37" s="78">
        <f t="shared" si="33"/>
        <v>0.8624232513652772</v>
      </c>
      <c r="P37" s="78">
        <f t="shared" si="33"/>
        <v>0.81935930262792556</v>
      </c>
      <c r="Q37" s="78">
        <f t="shared" si="33"/>
        <v>0.77081969604910805</v>
      </c>
      <c r="R37" s="78">
        <f t="shared" si="33"/>
        <v>0.73337079311576236</v>
      </c>
    </row>
    <row r="38" spans="11:27" ht="22.5" hidden="1" customHeight="1">
      <c r="K38" s="24" t="s">
        <v>87</v>
      </c>
      <c r="L38" s="46">
        <f t="shared" ref="L38:R38" si="34">L5/12*$D$22</f>
        <v>583.33333333333337</v>
      </c>
      <c r="M38" s="46">
        <f t="shared" si="34"/>
        <v>612.5</v>
      </c>
      <c r="N38" s="46">
        <f t="shared" si="34"/>
        <v>643.125</v>
      </c>
      <c r="O38" s="46">
        <f t="shared" si="34"/>
        <v>675.28125</v>
      </c>
      <c r="P38" s="46">
        <f t="shared" si="34"/>
        <v>709.04531250000002</v>
      </c>
      <c r="Q38" s="46">
        <f t="shared" si="34"/>
        <v>744.49757812500013</v>
      </c>
      <c r="R38" s="46">
        <f t="shared" si="34"/>
        <v>781.7224570312502</v>
      </c>
    </row>
    <row r="39" spans="11:27" ht="22.5" hidden="1" customHeight="1">
      <c r="K39" s="24" t="s">
        <v>88</v>
      </c>
      <c r="L39" s="46">
        <f t="shared" ref="L39:R39" si="35">L5*$C$9/12*$D$23</f>
        <v>145.83333333333334</v>
      </c>
      <c r="M39" s="46">
        <f t="shared" si="35"/>
        <v>153.125</v>
      </c>
      <c r="N39" s="46">
        <f t="shared" si="35"/>
        <v>160.78125</v>
      </c>
      <c r="O39" s="46">
        <f t="shared" si="35"/>
        <v>168.8203125</v>
      </c>
      <c r="P39" s="46">
        <f t="shared" si="35"/>
        <v>177.26132812500001</v>
      </c>
      <c r="Q39" s="46">
        <f t="shared" si="35"/>
        <v>186.12439453125003</v>
      </c>
      <c r="R39" s="46">
        <f t="shared" si="35"/>
        <v>195.43061425781255</v>
      </c>
    </row>
    <row r="40" spans="11:27" ht="22.5" hidden="1" customHeight="1">
      <c r="K40" s="79" t="s">
        <v>114</v>
      </c>
      <c r="L40" s="46">
        <f>L5*$D$21/100</f>
        <v>350</v>
      </c>
      <c r="M40" s="46">
        <f t="shared" ref="M40:R40" si="36">M5*$D$21/100</f>
        <v>367.5</v>
      </c>
      <c r="N40" s="46">
        <f t="shared" si="36"/>
        <v>385.875</v>
      </c>
      <c r="O40" s="46">
        <f t="shared" si="36"/>
        <v>405.16874999999999</v>
      </c>
      <c r="P40" s="46">
        <f t="shared" si="36"/>
        <v>425.4271875</v>
      </c>
      <c r="Q40" s="46">
        <f t="shared" si="36"/>
        <v>446.69854687500009</v>
      </c>
      <c r="R40" s="46">
        <f t="shared" si="36"/>
        <v>469.03347421875014</v>
      </c>
    </row>
    <row r="41" spans="11:27" ht="22.5" hidden="1" customHeight="1"/>
    <row r="42" spans="11:27" ht="22.5" hidden="1" customHeight="1">
      <c r="K42" s="24" t="s">
        <v>57</v>
      </c>
      <c r="L42" s="19">
        <f>F6*0.005</f>
        <v>0</v>
      </c>
      <c r="M42" s="19">
        <f t="shared" ref="M42:R43" si="37">L42</f>
        <v>0</v>
      </c>
      <c r="N42" s="19">
        <f t="shared" si="37"/>
        <v>0</v>
      </c>
      <c r="O42" s="19">
        <f t="shared" si="37"/>
        <v>0</v>
      </c>
      <c r="P42" s="19">
        <f t="shared" si="37"/>
        <v>0</v>
      </c>
      <c r="Q42" s="19">
        <f t="shared" si="37"/>
        <v>0</v>
      </c>
      <c r="R42" s="19">
        <f t="shared" si="37"/>
        <v>0</v>
      </c>
    </row>
    <row r="43" spans="11:27" ht="22.5" hidden="1" customHeight="1">
      <c r="K43" s="24" t="s">
        <v>58</v>
      </c>
      <c r="L43" s="19">
        <f>F6*0.0005</f>
        <v>0</v>
      </c>
      <c r="M43" s="19">
        <f t="shared" si="37"/>
        <v>0</v>
      </c>
      <c r="N43" s="19">
        <f t="shared" si="37"/>
        <v>0</v>
      </c>
      <c r="O43" s="19">
        <f t="shared" si="37"/>
        <v>0</v>
      </c>
      <c r="P43" s="19">
        <f t="shared" si="37"/>
        <v>0</v>
      </c>
      <c r="Q43" s="19">
        <f t="shared" si="37"/>
        <v>0</v>
      </c>
      <c r="R43" s="19">
        <f t="shared" si="37"/>
        <v>0</v>
      </c>
    </row>
    <row r="44" spans="11:27" ht="22.5" hidden="1" customHeight="1">
      <c r="K44" s="24" t="s">
        <v>37</v>
      </c>
      <c r="L44" s="13">
        <f>F5*0.7*0.014</f>
        <v>0</v>
      </c>
      <c r="M44" s="13">
        <f t="shared" ref="M44:R45" si="38">L44</f>
        <v>0</v>
      </c>
      <c r="N44" s="13">
        <f t="shared" si="38"/>
        <v>0</v>
      </c>
      <c r="O44" s="13">
        <f t="shared" si="38"/>
        <v>0</v>
      </c>
      <c r="P44" s="13">
        <f t="shared" si="38"/>
        <v>0</v>
      </c>
      <c r="Q44" s="13">
        <f t="shared" si="38"/>
        <v>0</v>
      </c>
      <c r="R44" s="13">
        <f t="shared" si="38"/>
        <v>0</v>
      </c>
    </row>
    <row r="45" spans="11:27" ht="22.5" hidden="1" customHeight="1">
      <c r="K45" s="24" t="s">
        <v>38</v>
      </c>
      <c r="L45" s="13">
        <f>ROUND(F6*0.7*0.014,0)</f>
        <v>0</v>
      </c>
      <c r="M45" s="13">
        <f t="shared" si="38"/>
        <v>0</v>
      </c>
      <c r="N45" s="13">
        <f t="shared" si="38"/>
        <v>0</v>
      </c>
      <c r="O45" s="13">
        <f t="shared" si="38"/>
        <v>0</v>
      </c>
      <c r="P45" s="13">
        <f t="shared" si="38"/>
        <v>0</v>
      </c>
      <c r="Q45" s="13">
        <f t="shared" si="38"/>
        <v>0</v>
      </c>
      <c r="R45" s="13">
        <f t="shared" si="38"/>
        <v>0</v>
      </c>
    </row>
    <row r="46" spans="11:27" ht="22.5" hidden="1" customHeight="1">
      <c r="K46" s="24" t="s">
        <v>39</v>
      </c>
      <c r="L46" s="14">
        <f>L47*0.014</f>
        <v>2.8000000000000003</v>
      </c>
      <c r="M46" s="14">
        <f t="shared" ref="M46:R46" si="39">M47*0.014</f>
        <v>2.6179999999999999</v>
      </c>
      <c r="N46" s="14">
        <f t="shared" si="39"/>
        <v>2.4359999999999999</v>
      </c>
      <c r="O46" s="14">
        <f>O47*0.014</f>
        <v>2.254</v>
      </c>
      <c r="P46" s="14">
        <f t="shared" si="39"/>
        <v>0</v>
      </c>
      <c r="Q46" s="14">
        <f t="shared" si="39"/>
        <v>0</v>
      </c>
      <c r="R46" s="14">
        <f t="shared" si="39"/>
        <v>0</v>
      </c>
    </row>
    <row r="47" spans="11:27" ht="22.5" hidden="1" customHeight="1">
      <c r="K47" s="24" t="s">
        <v>40</v>
      </c>
      <c r="L47" s="22">
        <f>IF(L56&gt;=150,L56,0)</f>
        <v>200</v>
      </c>
      <c r="M47" s="22">
        <f t="shared" ref="M47:R47" si="40">IF(M56&gt;=150,M56,0)</f>
        <v>187</v>
      </c>
      <c r="N47" s="22">
        <f t="shared" si="40"/>
        <v>174</v>
      </c>
      <c r="O47" s="22">
        <f t="shared" si="40"/>
        <v>161</v>
      </c>
      <c r="P47" s="22">
        <f t="shared" si="40"/>
        <v>0</v>
      </c>
      <c r="Q47" s="22">
        <f t="shared" si="40"/>
        <v>0</v>
      </c>
      <c r="R47" s="22">
        <f t="shared" si="40"/>
        <v>0</v>
      </c>
    </row>
    <row r="48" spans="11:27" ht="22.5" hidden="1" customHeight="1">
      <c r="K48" s="24"/>
    </row>
    <row r="49" spans="11:19" ht="22.5" hidden="1" customHeight="1">
      <c r="K49" s="24"/>
    </row>
    <row r="50" spans="11:19" ht="22.5" hidden="1" customHeight="1">
      <c r="K50" s="24" t="s">
        <v>41</v>
      </c>
      <c r="L50" s="24">
        <f>IF(NOT(F7=0),F7,1)</f>
        <v>1</v>
      </c>
    </row>
    <row r="51" spans="11:19" ht="22.5" hidden="1" customHeight="1">
      <c r="K51" s="24" t="s">
        <v>42</v>
      </c>
      <c r="L51" s="23">
        <f>L50</f>
        <v>1</v>
      </c>
      <c r="M51" s="22">
        <f t="shared" ref="M51:R51" si="41">IF(L51-1&gt;0,L51-1,1)</f>
        <v>1</v>
      </c>
      <c r="N51" s="22">
        <f t="shared" si="41"/>
        <v>1</v>
      </c>
      <c r="O51" s="22">
        <f t="shared" si="41"/>
        <v>1</v>
      </c>
      <c r="P51" s="22">
        <f t="shared" si="41"/>
        <v>1</v>
      </c>
      <c r="Q51" s="22">
        <f t="shared" si="41"/>
        <v>1</v>
      </c>
      <c r="R51" s="22">
        <f t="shared" si="41"/>
        <v>1</v>
      </c>
      <c r="S51" s="22">
        <f>IF(R51-1&gt;0,R51-1,1)</f>
        <v>1</v>
      </c>
    </row>
    <row r="52" spans="11:19" ht="22.5" hidden="1" customHeight="1">
      <c r="K52" s="24" t="s">
        <v>43</v>
      </c>
      <c r="L52" s="23">
        <f>F6</f>
        <v>0</v>
      </c>
      <c r="M52" s="23">
        <f t="shared" ref="M52:R52" si="42">L52-L53</f>
        <v>0</v>
      </c>
      <c r="N52" s="23">
        <f t="shared" si="42"/>
        <v>0</v>
      </c>
      <c r="O52" s="23">
        <f t="shared" si="42"/>
        <v>0</v>
      </c>
      <c r="P52" s="23">
        <f t="shared" si="42"/>
        <v>0</v>
      </c>
      <c r="Q52" s="23">
        <f t="shared" si="42"/>
        <v>0</v>
      </c>
      <c r="R52" s="23">
        <f t="shared" si="42"/>
        <v>0</v>
      </c>
      <c r="S52" s="23">
        <f>R52-R53</f>
        <v>0</v>
      </c>
    </row>
    <row r="53" spans="11:19" ht="22.5" hidden="1" customHeight="1">
      <c r="K53" s="24" t="s">
        <v>44</v>
      </c>
      <c r="L53" s="14">
        <f t="shared" ref="L53:R53" si="43">ROUND(L52/L51,0)</f>
        <v>0</v>
      </c>
      <c r="M53" s="14">
        <f t="shared" si="43"/>
        <v>0</v>
      </c>
      <c r="N53" s="14">
        <f t="shared" si="43"/>
        <v>0</v>
      </c>
      <c r="O53" s="14">
        <f t="shared" si="43"/>
        <v>0</v>
      </c>
      <c r="P53" s="14">
        <f t="shared" si="43"/>
        <v>0</v>
      </c>
      <c r="Q53" s="14">
        <f t="shared" si="43"/>
        <v>0</v>
      </c>
      <c r="R53" s="14">
        <f t="shared" si="43"/>
        <v>0</v>
      </c>
      <c r="S53" s="14">
        <f>ROUND(S52/S51,0)</f>
        <v>0</v>
      </c>
    </row>
    <row r="54" spans="11:19" ht="22.5" hidden="1" customHeight="1">
      <c r="K54" s="24" t="s">
        <v>45</v>
      </c>
      <c r="L54" s="24">
        <f>IF(NOT(F9=0),F9,1)</f>
        <v>15</v>
      </c>
    </row>
    <row r="55" spans="11:19" ht="22.5" hidden="1" customHeight="1">
      <c r="K55" s="24" t="s">
        <v>42</v>
      </c>
      <c r="L55" s="23">
        <f>L54</f>
        <v>15</v>
      </c>
      <c r="M55" s="22">
        <f t="shared" ref="M55:R55" si="44">IF(L55-1&gt;0,L55-1,1)</f>
        <v>14</v>
      </c>
      <c r="N55" s="22">
        <f t="shared" si="44"/>
        <v>13</v>
      </c>
      <c r="O55" s="22">
        <f t="shared" si="44"/>
        <v>12</v>
      </c>
      <c r="P55" s="22">
        <f t="shared" si="44"/>
        <v>11</v>
      </c>
      <c r="Q55" s="22">
        <f t="shared" si="44"/>
        <v>10</v>
      </c>
      <c r="R55" s="22">
        <f t="shared" si="44"/>
        <v>9</v>
      </c>
      <c r="S55" s="22">
        <f>IF(R55-1&gt;0,R55-1,1)</f>
        <v>8</v>
      </c>
    </row>
    <row r="56" spans="11:19" ht="22.5" hidden="1" customHeight="1">
      <c r="K56" s="24" t="s">
        <v>43</v>
      </c>
      <c r="L56" s="23">
        <f>F8</f>
        <v>200</v>
      </c>
      <c r="M56" s="23">
        <f t="shared" ref="M56:R56" si="45">L56-L57</f>
        <v>187</v>
      </c>
      <c r="N56" s="23">
        <f t="shared" si="45"/>
        <v>174</v>
      </c>
      <c r="O56" s="23">
        <f t="shared" si="45"/>
        <v>161</v>
      </c>
      <c r="P56" s="23">
        <f t="shared" si="45"/>
        <v>148</v>
      </c>
      <c r="Q56" s="23">
        <f t="shared" si="45"/>
        <v>135</v>
      </c>
      <c r="R56" s="23">
        <f t="shared" si="45"/>
        <v>121</v>
      </c>
      <c r="S56" s="23">
        <f>R56-R57</f>
        <v>108</v>
      </c>
    </row>
    <row r="57" spans="11:19" ht="22.5" hidden="1" customHeight="1">
      <c r="K57" s="24" t="s">
        <v>44</v>
      </c>
      <c r="L57" s="14">
        <f>ROUND(L56/L55,0)</f>
        <v>13</v>
      </c>
      <c r="M57" s="14">
        <f t="shared" ref="M57:R57" si="46">ROUND(M56/M55,0)</f>
        <v>13</v>
      </c>
      <c r="N57" s="14">
        <f t="shared" si="46"/>
        <v>13</v>
      </c>
      <c r="O57" s="14">
        <f t="shared" si="46"/>
        <v>13</v>
      </c>
      <c r="P57" s="14">
        <f t="shared" si="46"/>
        <v>13</v>
      </c>
      <c r="Q57" s="14">
        <f t="shared" si="46"/>
        <v>14</v>
      </c>
      <c r="R57" s="14">
        <f t="shared" si="46"/>
        <v>13</v>
      </c>
      <c r="S57" s="14">
        <f>ROUND(S56/S55,0)</f>
        <v>14</v>
      </c>
    </row>
    <row r="58" spans="11:19" ht="22.5" hidden="1" customHeight="1">
      <c r="K58" s="24"/>
    </row>
    <row r="59" spans="11:19" ht="22.5" hidden="1" customHeight="1">
      <c r="K59" s="24" t="s">
        <v>46</v>
      </c>
      <c r="L59" s="22">
        <v>5</v>
      </c>
      <c r="M59" s="22">
        <f>L59-1</f>
        <v>4</v>
      </c>
      <c r="N59" s="22">
        <f>M59-1</f>
        <v>3</v>
      </c>
      <c r="O59" s="22">
        <f>N59-1</f>
        <v>2</v>
      </c>
      <c r="P59" s="22">
        <f>O59-1</f>
        <v>1</v>
      </c>
      <c r="Q59" s="22"/>
      <c r="R59" s="22"/>
      <c r="S59" s="22"/>
    </row>
    <row r="60" spans="11:19" ht="22.5" hidden="1" customHeight="1">
      <c r="K60" s="24" t="s">
        <v>43</v>
      </c>
      <c r="L60" s="23">
        <f>F10</f>
        <v>100</v>
      </c>
      <c r="M60" s="23">
        <f>L60-L61</f>
        <v>80</v>
      </c>
      <c r="N60" s="23">
        <f>M60-M61</f>
        <v>60</v>
      </c>
      <c r="O60" s="23">
        <f>N60-N61</f>
        <v>40</v>
      </c>
      <c r="P60" s="23">
        <f>O60-O61</f>
        <v>20</v>
      </c>
      <c r="Q60" s="22">
        <v>0</v>
      </c>
      <c r="R60" s="22">
        <v>0</v>
      </c>
      <c r="S60" s="22">
        <v>0</v>
      </c>
    </row>
    <row r="61" spans="11:19" ht="22.5" hidden="1" customHeight="1">
      <c r="K61" s="24" t="s">
        <v>44</v>
      </c>
      <c r="L61" s="14">
        <f>L60/L59</f>
        <v>20</v>
      </c>
      <c r="M61" s="14">
        <f>M60/M59</f>
        <v>20</v>
      </c>
      <c r="N61" s="14">
        <f>N60/N59</f>
        <v>20</v>
      </c>
      <c r="O61" s="14">
        <f>O60/O59</f>
        <v>20</v>
      </c>
      <c r="P61" s="14">
        <f>P60/P59</f>
        <v>20</v>
      </c>
      <c r="Q61" s="14">
        <v>0</v>
      </c>
      <c r="R61" s="14">
        <v>0</v>
      </c>
      <c r="S61" s="14">
        <v>0</v>
      </c>
    </row>
    <row r="62" spans="11:19" ht="22.5" hidden="1" customHeight="1">
      <c r="K62" s="24"/>
    </row>
    <row r="63" spans="11:19" ht="22.5" hidden="1" customHeight="1">
      <c r="K63" s="24" t="s">
        <v>47</v>
      </c>
      <c r="L63" s="21">
        <f>M79</f>
        <v>16.7882414232309</v>
      </c>
      <c r="M63" s="21">
        <f>M91</f>
        <v>15.210280246877309</v>
      </c>
      <c r="N63" s="21">
        <f>M103</f>
        <v>13.592414867194181</v>
      </c>
      <c r="O63" s="21">
        <f>M115</f>
        <v>11.933636168452171</v>
      </c>
      <c r="P63" s="21">
        <f>M127</f>
        <v>10.232909515942197</v>
      </c>
      <c r="Q63" s="21">
        <f>M139</f>
        <v>8.4891741106398655</v>
      </c>
      <c r="R63" s="21">
        <f>M151</f>
        <v>6.701342327550269</v>
      </c>
    </row>
    <row r="64" spans="11:19" ht="22.5" hidden="1" customHeight="1">
      <c r="K64" s="24" t="s">
        <v>48</v>
      </c>
      <c r="L64" s="21">
        <f>L79</f>
        <v>62.398476008099408</v>
      </c>
      <c r="M64" s="21">
        <f>L91</f>
        <v>63.97643718445326</v>
      </c>
      <c r="N64" s="21">
        <f>L103</f>
        <v>65.594302564136882</v>
      </c>
      <c r="O64" s="21">
        <f>L115</f>
        <v>67.253081262879689</v>
      </c>
      <c r="P64" s="21">
        <f>L127</f>
        <v>68.953807915390854</v>
      </c>
      <c r="Q64" s="21">
        <f>L139</f>
        <v>70.697543320694649</v>
      </c>
      <c r="R64" s="21">
        <f>L151</f>
        <v>72.485375103785714</v>
      </c>
    </row>
    <row r="65" spans="1:16" ht="22.5" hidden="1" customHeight="1">
      <c r="E65" s="24">
        <f>IF(NOT(I8=0),I8,1)</f>
        <v>10</v>
      </c>
    </row>
    <row r="66" spans="1:16" ht="22.5" hidden="1" customHeight="1">
      <c r="B66" s="25" t="s">
        <v>49</v>
      </c>
      <c r="C66" s="25" t="s">
        <v>50</v>
      </c>
      <c r="D66" s="25"/>
      <c r="E66" s="25" t="s">
        <v>51</v>
      </c>
      <c r="F66" s="25" t="s">
        <v>52</v>
      </c>
      <c r="G66" s="25"/>
      <c r="H66" s="25"/>
      <c r="I66" s="25"/>
      <c r="K66" s="25" t="s">
        <v>54</v>
      </c>
      <c r="L66" s="25" t="s">
        <v>60</v>
      </c>
      <c r="M66" s="25" t="s">
        <v>55</v>
      </c>
      <c r="O66" s="17" t="s">
        <v>61</v>
      </c>
      <c r="P66" s="17" t="s">
        <v>56</v>
      </c>
    </row>
    <row r="67" spans="1:16" ht="22.5" hidden="1" customHeight="1">
      <c r="B67" s="26">
        <f>I7</f>
        <v>2.5000000000000001E-2</v>
      </c>
      <c r="C67" s="24"/>
      <c r="D67" s="24"/>
      <c r="E67" s="27">
        <f>E65*12</f>
        <v>120</v>
      </c>
      <c r="F67" s="28">
        <f>I6</f>
        <v>700</v>
      </c>
      <c r="G67" s="24"/>
      <c r="H67" s="24"/>
      <c r="I67" s="24"/>
      <c r="J67" s="25" t="s">
        <v>53</v>
      </c>
      <c r="K67" s="24"/>
      <c r="L67" s="24"/>
      <c r="M67" s="24"/>
      <c r="O67" s="15"/>
    </row>
    <row r="68" spans="1:16" ht="22.5" hidden="1" customHeight="1">
      <c r="B68" s="24">
        <f>B67/12</f>
        <v>2.0833333333333333E-3</v>
      </c>
      <c r="C68" s="24">
        <v>1</v>
      </c>
      <c r="D68" s="24"/>
      <c r="E68" s="24">
        <f>E67</f>
        <v>120</v>
      </c>
      <c r="F68" s="29">
        <f>F67</f>
        <v>700</v>
      </c>
      <c r="G68" s="24"/>
      <c r="H68" s="24"/>
      <c r="I68" s="24"/>
      <c r="J68" s="24"/>
      <c r="K68" s="31">
        <f t="shared" ref="K68:K99" si="47">F68*B68</f>
        <v>1.4583333333333333</v>
      </c>
      <c r="L68" s="24"/>
      <c r="M68" s="24"/>
      <c r="O68" s="16">
        <f t="shared" ref="O68:O99" si="48">PPMT(B68,C68,$E$68,$F$68)*(-1)</f>
        <v>5.1405597859441867</v>
      </c>
      <c r="P68" s="16">
        <f t="shared" ref="P68:P99" si="49">J69+K68</f>
        <v>6.5988931192775198</v>
      </c>
    </row>
    <row r="69" spans="1:16" ht="22.5" hidden="1" customHeight="1">
      <c r="B69" s="24">
        <f>B68</f>
        <v>2.0833333333333333E-3</v>
      </c>
      <c r="C69" s="24">
        <v>2</v>
      </c>
      <c r="D69" s="24"/>
      <c r="E69" s="24">
        <f>IF(E68-1&gt;0,E68-1,1)</f>
        <v>119</v>
      </c>
      <c r="F69" s="32">
        <f t="shared" ref="F69:F100" si="50">F68-J69</f>
        <v>694.85944021405578</v>
      </c>
      <c r="G69" s="24"/>
      <c r="H69" s="33">
        <f>(1+B69)*E69</f>
        <v>119.24791666666668</v>
      </c>
      <c r="I69" s="33">
        <f t="shared" ref="I69:I132" si="51">H69/E69</f>
        <v>1.0020833333333334</v>
      </c>
      <c r="J69" s="30">
        <f>(PPMT(B68,C68,E68,F68))*(-1)</f>
        <v>5.1405597859441867</v>
      </c>
      <c r="K69" s="31">
        <f t="shared" si="47"/>
        <v>1.4476238337792828</v>
      </c>
      <c r="L69" s="24"/>
      <c r="M69" s="24"/>
      <c r="O69" s="16">
        <f t="shared" si="48"/>
        <v>5.1512692854982367</v>
      </c>
      <c r="P69" s="16">
        <f t="shared" si="49"/>
        <v>6.5988931192775206</v>
      </c>
    </row>
    <row r="70" spans="1:16" ht="22.5" hidden="1" customHeight="1">
      <c r="B70" s="24">
        <f t="shared" ref="B70:B133" si="52">B69</f>
        <v>2.0833333333333333E-3</v>
      </c>
      <c r="C70" s="24">
        <v>3</v>
      </c>
      <c r="D70" s="24"/>
      <c r="E70" s="24">
        <f t="shared" ref="E70:E133" si="53">IF(E69-1&gt;0,E69-1,1)</f>
        <v>118</v>
      </c>
      <c r="F70" s="32">
        <f t="shared" si="50"/>
        <v>689.70817092855759</v>
      </c>
      <c r="G70" s="24"/>
      <c r="H70" s="33">
        <f>H69-I69</f>
        <v>118.24583333333335</v>
      </c>
      <c r="I70" s="33">
        <f t="shared" si="51"/>
        <v>1.0020833333333334</v>
      </c>
      <c r="J70" s="31">
        <f t="shared" ref="J70:J101" si="54">I69*J69</f>
        <v>5.1512692854982376</v>
      </c>
      <c r="K70" s="31">
        <f t="shared" si="47"/>
        <v>1.4368920227678283</v>
      </c>
      <c r="L70" s="24"/>
      <c r="M70" s="24"/>
      <c r="O70" s="16">
        <f t="shared" si="48"/>
        <v>5.162001096509691</v>
      </c>
      <c r="P70" s="16">
        <f t="shared" si="49"/>
        <v>6.5988931192775215</v>
      </c>
    </row>
    <row r="71" spans="1:16" ht="22.5" hidden="1" customHeight="1">
      <c r="B71" s="24">
        <f t="shared" si="52"/>
        <v>2.0833333333333333E-3</v>
      </c>
      <c r="C71" s="24">
        <v>4</v>
      </c>
      <c r="D71" s="24"/>
      <c r="E71" s="24">
        <f t="shared" si="53"/>
        <v>117</v>
      </c>
      <c r="F71" s="32">
        <f t="shared" si="50"/>
        <v>684.54616983204789</v>
      </c>
      <c r="G71" s="24"/>
      <c r="H71" s="33">
        <f>H70-I70</f>
        <v>117.24375000000002</v>
      </c>
      <c r="I71" s="33">
        <f t="shared" si="51"/>
        <v>1.0020833333333334</v>
      </c>
      <c r="J71" s="31">
        <f t="shared" si="54"/>
        <v>5.1620010965096927</v>
      </c>
      <c r="K71" s="31">
        <f t="shared" si="47"/>
        <v>1.4261378538167664</v>
      </c>
      <c r="L71" s="24"/>
      <c r="M71" s="24"/>
      <c r="O71" s="16">
        <f t="shared" si="48"/>
        <v>5.1727552654607534</v>
      </c>
      <c r="P71" s="16">
        <f t="shared" si="49"/>
        <v>6.5988931192775215</v>
      </c>
    </row>
    <row r="72" spans="1:16" ht="22.5" hidden="1" customHeight="1">
      <c r="B72" s="24">
        <f t="shared" si="52"/>
        <v>2.0833333333333333E-3</v>
      </c>
      <c r="C72" s="24">
        <v>5</v>
      </c>
      <c r="D72" s="24"/>
      <c r="E72" s="24">
        <f t="shared" si="53"/>
        <v>116</v>
      </c>
      <c r="F72" s="32">
        <f t="shared" si="50"/>
        <v>679.37341456658714</v>
      </c>
      <c r="G72" s="24"/>
      <c r="H72" s="33">
        <f>H71-I71</f>
        <v>116.24166666666669</v>
      </c>
      <c r="I72" s="33">
        <f t="shared" si="51"/>
        <v>1.0020833333333334</v>
      </c>
      <c r="J72" s="31">
        <f t="shared" si="54"/>
        <v>5.1727552654607551</v>
      </c>
      <c r="K72" s="31">
        <f t="shared" si="47"/>
        <v>1.4153612803470565</v>
      </c>
      <c r="L72" s="24"/>
      <c r="M72" s="24"/>
      <c r="O72" s="16">
        <f t="shared" si="48"/>
        <v>5.1835318389304632</v>
      </c>
      <c r="P72" s="16">
        <f t="shared" si="49"/>
        <v>6.5988931192775224</v>
      </c>
    </row>
    <row r="73" spans="1:16" ht="22.5" hidden="1" customHeight="1">
      <c r="B73" s="24">
        <f t="shared" si="52"/>
        <v>2.0833333333333333E-3</v>
      </c>
      <c r="C73" s="24">
        <v>6</v>
      </c>
      <c r="D73" s="24"/>
      <c r="E73" s="24">
        <f t="shared" si="53"/>
        <v>115</v>
      </c>
      <c r="F73" s="32">
        <f t="shared" si="50"/>
        <v>674.18988272765671</v>
      </c>
      <c r="G73" s="24"/>
      <c r="H73" s="33">
        <f>H72-I72</f>
        <v>115.23958333333336</v>
      </c>
      <c r="I73" s="33">
        <f t="shared" si="51"/>
        <v>1.0020833333333334</v>
      </c>
      <c r="J73" s="31">
        <f t="shared" si="54"/>
        <v>5.1835318389304659</v>
      </c>
      <c r="K73" s="31">
        <f t="shared" si="47"/>
        <v>1.4045622556826181</v>
      </c>
      <c r="L73" s="24"/>
      <c r="M73" s="24"/>
      <c r="O73" s="16">
        <f t="shared" si="48"/>
        <v>5.1943308635949013</v>
      </c>
      <c r="P73" s="16">
        <f t="shared" si="49"/>
        <v>6.5988931192775233</v>
      </c>
    </row>
    <row r="74" spans="1:16" ht="22.5" hidden="1" customHeight="1">
      <c r="B74" s="24">
        <f t="shared" si="52"/>
        <v>2.0833333333333333E-3</v>
      </c>
      <c r="C74" s="24">
        <v>7</v>
      </c>
      <c r="D74" s="24"/>
      <c r="E74" s="24">
        <f t="shared" si="53"/>
        <v>114</v>
      </c>
      <c r="F74" s="32">
        <f t="shared" si="50"/>
        <v>668.99555186406178</v>
      </c>
      <c r="G74" s="24"/>
      <c r="H74" s="33">
        <f>H73-I73</f>
        <v>114.23750000000003</v>
      </c>
      <c r="I74" s="33">
        <f t="shared" si="51"/>
        <v>1.0020833333333337</v>
      </c>
      <c r="J74" s="31">
        <f t="shared" si="54"/>
        <v>5.1943308635949048</v>
      </c>
      <c r="K74" s="31">
        <f t="shared" si="47"/>
        <v>1.3937407330501288</v>
      </c>
      <c r="L74" s="24"/>
      <c r="M74" s="24"/>
      <c r="O74" s="16">
        <f t="shared" si="48"/>
        <v>5.2051523862273914</v>
      </c>
      <c r="P74" s="16">
        <f t="shared" si="49"/>
        <v>6.5988931192775251</v>
      </c>
    </row>
    <row r="75" spans="1:16" ht="22.5" hidden="1" customHeight="1">
      <c r="B75" s="24">
        <f t="shared" si="52"/>
        <v>2.0833333333333333E-3</v>
      </c>
      <c r="C75" s="24">
        <v>8</v>
      </c>
      <c r="D75" s="24"/>
      <c r="E75" s="24">
        <f t="shared" si="53"/>
        <v>113</v>
      </c>
      <c r="F75" s="32">
        <f t="shared" si="50"/>
        <v>663.7903994778344</v>
      </c>
      <c r="G75" s="24"/>
      <c r="H75" s="33">
        <f t="shared" ref="H75:H138" si="55">H74-I74</f>
        <v>113.23541666666669</v>
      </c>
      <c r="I75" s="33">
        <f t="shared" si="51"/>
        <v>1.0020833333333337</v>
      </c>
      <c r="J75" s="31">
        <f t="shared" si="54"/>
        <v>5.2051523862273958</v>
      </c>
      <c r="K75" s="31">
        <f t="shared" si="47"/>
        <v>1.3828966655788217</v>
      </c>
      <c r="L75" s="24"/>
      <c r="M75" s="24"/>
      <c r="O75" s="16">
        <f t="shared" si="48"/>
        <v>5.2159964536986978</v>
      </c>
      <c r="P75" s="16">
        <f t="shared" si="49"/>
        <v>6.5988931192775269</v>
      </c>
    </row>
    <row r="76" spans="1:16" ht="22.5" hidden="1" customHeight="1">
      <c r="B76" s="24">
        <f t="shared" si="52"/>
        <v>2.0833333333333333E-3</v>
      </c>
      <c r="C76" s="24">
        <v>9</v>
      </c>
      <c r="D76" s="24"/>
      <c r="E76" s="24">
        <f t="shared" si="53"/>
        <v>112</v>
      </c>
      <c r="F76" s="32">
        <f t="shared" si="50"/>
        <v>658.57440302413568</v>
      </c>
      <c r="G76" s="24"/>
      <c r="H76" s="33">
        <f t="shared" si="55"/>
        <v>112.23333333333336</v>
      </c>
      <c r="I76" s="33">
        <f t="shared" si="51"/>
        <v>1.0020833333333337</v>
      </c>
      <c r="J76" s="31">
        <f t="shared" si="54"/>
        <v>5.2159964536987049</v>
      </c>
      <c r="K76" s="31">
        <f t="shared" si="47"/>
        <v>1.3720300063002826</v>
      </c>
      <c r="L76" s="24"/>
      <c r="M76" s="24"/>
      <c r="O76" s="16">
        <f t="shared" si="48"/>
        <v>5.2268631129772372</v>
      </c>
      <c r="P76" s="16">
        <f t="shared" si="49"/>
        <v>6.5988931192775278</v>
      </c>
    </row>
    <row r="77" spans="1:16" ht="22.5" hidden="1" customHeight="1">
      <c r="B77" s="24">
        <f t="shared" si="52"/>
        <v>2.0833333333333333E-3</v>
      </c>
      <c r="C77" s="24">
        <v>10</v>
      </c>
      <c r="D77" s="24"/>
      <c r="E77" s="24">
        <f t="shared" si="53"/>
        <v>111</v>
      </c>
      <c r="F77" s="32">
        <f t="shared" si="50"/>
        <v>653.34753991115838</v>
      </c>
      <c r="G77" s="24"/>
      <c r="H77" s="33">
        <f t="shared" si="55"/>
        <v>111.23125000000003</v>
      </c>
      <c r="I77" s="33">
        <f t="shared" si="51"/>
        <v>1.0020833333333337</v>
      </c>
      <c r="J77" s="31">
        <f t="shared" si="54"/>
        <v>5.2268631129772452</v>
      </c>
      <c r="K77" s="31">
        <f t="shared" si="47"/>
        <v>1.3611407081482465</v>
      </c>
      <c r="L77" s="24"/>
      <c r="M77" s="24"/>
      <c r="O77" s="16">
        <f t="shared" si="48"/>
        <v>5.2377524111292733</v>
      </c>
      <c r="P77" s="16">
        <f t="shared" si="49"/>
        <v>6.5988931192775295</v>
      </c>
    </row>
    <row r="78" spans="1:16" ht="22.5" hidden="1" customHeight="1">
      <c r="B78" s="24">
        <f t="shared" si="52"/>
        <v>2.0833333333333333E-3</v>
      </c>
      <c r="C78" s="24">
        <v>11</v>
      </c>
      <c r="D78" s="24"/>
      <c r="E78" s="24">
        <f t="shared" si="53"/>
        <v>110</v>
      </c>
      <c r="F78" s="32">
        <f t="shared" si="50"/>
        <v>648.10978750002914</v>
      </c>
      <c r="G78" s="24"/>
      <c r="H78" s="33">
        <f t="shared" si="55"/>
        <v>110.2291666666667</v>
      </c>
      <c r="I78" s="33">
        <f t="shared" si="51"/>
        <v>1.0020833333333337</v>
      </c>
      <c r="J78" s="31">
        <f t="shared" si="54"/>
        <v>5.237752411129283</v>
      </c>
      <c r="K78" s="31">
        <f t="shared" si="47"/>
        <v>1.3502287239583941</v>
      </c>
      <c r="L78" s="24"/>
      <c r="M78" s="24"/>
      <c r="O78" s="16">
        <f t="shared" si="48"/>
        <v>5.2486643953191257</v>
      </c>
      <c r="P78" s="16">
        <f t="shared" si="49"/>
        <v>6.5988931192775313</v>
      </c>
    </row>
    <row r="79" spans="1:16" ht="22.5" hidden="1" customHeight="1">
      <c r="A79" s="14">
        <v>1</v>
      </c>
      <c r="B79" s="34">
        <f t="shared" si="52"/>
        <v>2.0833333333333333E-3</v>
      </c>
      <c r="C79" s="34">
        <v>12</v>
      </c>
      <c r="D79" s="34"/>
      <c r="E79" s="34">
        <f t="shared" si="53"/>
        <v>109</v>
      </c>
      <c r="F79" s="35">
        <f t="shared" si="50"/>
        <v>642.86112310471003</v>
      </c>
      <c r="G79" s="34"/>
      <c r="H79" s="36">
        <f t="shared" si="55"/>
        <v>109.22708333333337</v>
      </c>
      <c r="I79" s="36">
        <f t="shared" si="51"/>
        <v>1.0020833333333337</v>
      </c>
      <c r="J79" s="31">
        <f t="shared" si="54"/>
        <v>5.2486643953191372</v>
      </c>
      <c r="K79" s="37">
        <f t="shared" si="47"/>
        <v>1.3392940064681458</v>
      </c>
      <c r="L79" s="38">
        <f>SUM(J69:J80)</f>
        <v>62.398476008099408</v>
      </c>
      <c r="M79" s="38">
        <f>SUM(K68:K79)</f>
        <v>16.7882414232309</v>
      </c>
      <c r="O79" s="16">
        <f t="shared" si="48"/>
        <v>5.2595991128093731</v>
      </c>
      <c r="P79" s="16">
        <f t="shared" si="49"/>
        <v>6.5988931192775331</v>
      </c>
    </row>
    <row r="80" spans="1:16" ht="22.5" hidden="1" customHeight="1">
      <c r="B80" s="24">
        <f t="shared" si="52"/>
        <v>2.0833333333333333E-3</v>
      </c>
      <c r="C80" s="24">
        <v>13</v>
      </c>
      <c r="D80" s="24"/>
      <c r="E80" s="24">
        <f t="shared" si="53"/>
        <v>108</v>
      </c>
      <c r="F80" s="32">
        <f t="shared" si="50"/>
        <v>637.60152399190065</v>
      </c>
      <c r="G80" s="24"/>
      <c r="H80" s="33">
        <f t="shared" si="55"/>
        <v>108.22500000000004</v>
      </c>
      <c r="I80" s="33">
        <f t="shared" si="51"/>
        <v>1.0020833333333337</v>
      </c>
      <c r="J80" s="37">
        <f t="shared" si="54"/>
        <v>5.2595991128093873</v>
      </c>
      <c r="K80" s="31">
        <f t="shared" si="47"/>
        <v>1.3283365083164598</v>
      </c>
      <c r="L80" s="24"/>
      <c r="M80" s="24"/>
      <c r="O80" s="16">
        <f t="shared" si="48"/>
        <v>5.2705566109610604</v>
      </c>
      <c r="P80" s="16">
        <f t="shared" si="49"/>
        <v>6.5988931192775357</v>
      </c>
    </row>
    <row r="81" spans="1:16" ht="22.5" hidden="1" customHeight="1">
      <c r="B81" s="24">
        <f t="shared" si="52"/>
        <v>2.0833333333333333E-3</v>
      </c>
      <c r="C81" s="24">
        <v>14</v>
      </c>
      <c r="D81" s="24"/>
      <c r="E81" s="24">
        <f t="shared" si="53"/>
        <v>107</v>
      </c>
      <c r="F81" s="32">
        <f t="shared" si="50"/>
        <v>632.33096738093957</v>
      </c>
      <c r="G81" s="24"/>
      <c r="H81" s="33">
        <f t="shared" si="55"/>
        <v>107.22291666666671</v>
      </c>
      <c r="I81" s="33">
        <f t="shared" si="51"/>
        <v>1.0020833333333337</v>
      </c>
      <c r="J81" s="31">
        <f t="shared" si="54"/>
        <v>5.2705566109610755</v>
      </c>
      <c r="K81" s="31">
        <f t="shared" si="47"/>
        <v>1.3173561820436241</v>
      </c>
      <c r="L81" s="24"/>
      <c r="M81" s="24"/>
      <c r="O81" s="16">
        <f t="shared" si="48"/>
        <v>5.2815369372338958</v>
      </c>
      <c r="P81" s="16">
        <f t="shared" si="49"/>
        <v>6.5988931192775366</v>
      </c>
    </row>
    <row r="82" spans="1:16" ht="22.5" hidden="1" customHeight="1">
      <c r="B82" s="24">
        <f t="shared" si="52"/>
        <v>2.0833333333333333E-3</v>
      </c>
      <c r="C82" s="24">
        <v>15</v>
      </c>
      <c r="D82" s="24"/>
      <c r="E82" s="24">
        <f t="shared" si="53"/>
        <v>106</v>
      </c>
      <c r="F82" s="32">
        <f t="shared" si="50"/>
        <v>627.04943044370566</v>
      </c>
      <c r="G82" s="24"/>
      <c r="H82" s="33">
        <f t="shared" si="55"/>
        <v>106.22083333333337</v>
      </c>
      <c r="I82" s="33">
        <f t="shared" si="51"/>
        <v>1.0020833333333337</v>
      </c>
      <c r="J82" s="31">
        <f t="shared" si="54"/>
        <v>5.2815369372339127</v>
      </c>
      <c r="K82" s="31">
        <f t="shared" si="47"/>
        <v>1.3063529800910534</v>
      </c>
      <c r="L82" s="24"/>
      <c r="M82" s="24"/>
      <c r="O82" s="16">
        <f t="shared" si="48"/>
        <v>5.2925401391864666</v>
      </c>
      <c r="P82" s="16">
        <f t="shared" si="49"/>
        <v>6.5988931192775384</v>
      </c>
    </row>
    <row r="83" spans="1:16" ht="22.5" hidden="1" customHeight="1">
      <c r="B83" s="24">
        <f t="shared" si="52"/>
        <v>2.0833333333333333E-3</v>
      </c>
      <c r="C83" s="24">
        <v>16</v>
      </c>
      <c r="D83" s="24"/>
      <c r="E83" s="24">
        <f t="shared" si="53"/>
        <v>105</v>
      </c>
      <c r="F83" s="32">
        <f t="shared" si="50"/>
        <v>621.75689030451917</v>
      </c>
      <c r="G83" s="24"/>
      <c r="H83" s="33">
        <f t="shared" si="55"/>
        <v>105.21875000000004</v>
      </c>
      <c r="I83" s="33">
        <f t="shared" si="51"/>
        <v>1.0020833333333337</v>
      </c>
      <c r="J83" s="31">
        <f t="shared" si="54"/>
        <v>5.2925401391864852</v>
      </c>
      <c r="K83" s="31">
        <f t="shared" si="47"/>
        <v>1.2953268548010817</v>
      </c>
      <c r="L83" s="24"/>
      <c r="M83" s="24"/>
      <c r="O83" s="16">
        <f t="shared" si="48"/>
        <v>5.303566264476439</v>
      </c>
      <c r="P83" s="16">
        <f t="shared" si="49"/>
        <v>6.5988931192775402</v>
      </c>
    </row>
    <row r="84" spans="1:16" ht="22.5" hidden="1" customHeight="1">
      <c r="B84" s="24">
        <f t="shared" si="52"/>
        <v>2.0833333333333333E-3</v>
      </c>
      <c r="C84" s="24">
        <v>17</v>
      </c>
      <c r="D84" s="24"/>
      <c r="E84" s="24">
        <f t="shared" si="53"/>
        <v>104</v>
      </c>
      <c r="F84" s="32">
        <f t="shared" si="50"/>
        <v>616.45332404004273</v>
      </c>
      <c r="G84" s="24"/>
      <c r="H84" s="33">
        <f t="shared" si="55"/>
        <v>104.21666666666671</v>
      </c>
      <c r="I84" s="33">
        <f t="shared" si="51"/>
        <v>1.0020833333333337</v>
      </c>
      <c r="J84" s="31">
        <f t="shared" si="54"/>
        <v>5.3035662644764585</v>
      </c>
      <c r="K84" s="31">
        <f t="shared" si="47"/>
        <v>1.2842777584167557</v>
      </c>
      <c r="L84" s="24"/>
      <c r="M84" s="24"/>
      <c r="O84" s="16">
        <f t="shared" si="48"/>
        <v>5.3146153608607634</v>
      </c>
      <c r="P84" s="16">
        <f t="shared" si="49"/>
        <v>6.598893119277542</v>
      </c>
    </row>
    <row r="85" spans="1:16" ht="22.5" hidden="1" customHeight="1">
      <c r="B85" s="24">
        <f t="shared" si="52"/>
        <v>2.0833333333333333E-3</v>
      </c>
      <c r="C85" s="24">
        <v>18</v>
      </c>
      <c r="D85" s="24"/>
      <c r="E85" s="24">
        <f t="shared" si="53"/>
        <v>103</v>
      </c>
      <c r="F85" s="32">
        <f t="shared" si="50"/>
        <v>611.13870867918195</v>
      </c>
      <c r="G85" s="24"/>
      <c r="H85" s="33">
        <f t="shared" si="55"/>
        <v>103.21458333333338</v>
      </c>
      <c r="I85" s="33">
        <f t="shared" si="51"/>
        <v>1.0020833333333339</v>
      </c>
      <c r="J85" s="31">
        <f t="shared" si="54"/>
        <v>5.3146153608607865</v>
      </c>
      <c r="K85" s="31">
        <f t="shared" si="47"/>
        <v>1.273205643081629</v>
      </c>
      <c r="L85" s="24"/>
      <c r="M85" s="24"/>
      <c r="O85" s="16">
        <f t="shared" si="48"/>
        <v>5.325687476195891</v>
      </c>
      <c r="P85" s="16">
        <f t="shared" si="49"/>
        <v>6.5988931192775446</v>
      </c>
    </row>
    <row r="86" spans="1:16" ht="22.5" hidden="1" customHeight="1">
      <c r="B86" s="24">
        <f t="shared" si="52"/>
        <v>2.0833333333333333E-3</v>
      </c>
      <c r="C86" s="24">
        <v>19</v>
      </c>
      <c r="D86" s="24"/>
      <c r="E86" s="24">
        <f t="shared" si="53"/>
        <v>102</v>
      </c>
      <c r="F86" s="32">
        <f t="shared" si="50"/>
        <v>605.81302120298608</v>
      </c>
      <c r="G86" s="24"/>
      <c r="H86" s="33">
        <f t="shared" si="55"/>
        <v>102.21250000000005</v>
      </c>
      <c r="I86" s="33">
        <f t="shared" si="51"/>
        <v>1.0020833333333339</v>
      </c>
      <c r="J86" s="31">
        <f t="shared" si="54"/>
        <v>5.3256874761959159</v>
      </c>
      <c r="K86" s="31">
        <f t="shared" si="47"/>
        <v>1.2621104608395544</v>
      </c>
      <c r="L86" s="24"/>
      <c r="M86" s="24"/>
      <c r="O86" s="16">
        <f t="shared" si="48"/>
        <v>5.3367826584379658</v>
      </c>
      <c r="P86" s="16">
        <f t="shared" si="49"/>
        <v>6.5988931192775482</v>
      </c>
    </row>
    <row r="87" spans="1:16" ht="22.5" hidden="1" customHeight="1">
      <c r="B87" s="24">
        <f t="shared" si="52"/>
        <v>2.0833333333333333E-3</v>
      </c>
      <c r="C87" s="24">
        <v>20</v>
      </c>
      <c r="D87" s="24"/>
      <c r="E87" s="24">
        <f t="shared" si="53"/>
        <v>101</v>
      </c>
      <c r="F87" s="32">
        <f t="shared" si="50"/>
        <v>600.4762385445481</v>
      </c>
      <c r="G87" s="24"/>
      <c r="H87" s="33">
        <f t="shared" si="55"/>
        <v>101.21041666666672</v>
      </c>
      <c r="I87" s="33">
        <f t="shared" si="51"/>
        <v>1.0020833333333339</v>
      </c>
      <c r="J87" s="31">
        <f t="shared" si="54"/>
        <v>5.3367826584379934</v>
      </c>
      <c r="K87" s="31">
        <f t="shared" si="47"/>
        <v>1.2509921636344752</v>
      </c>
      <c r="L87" s="24"/>
      <c r="M87" s="24"/>
      <c r="O87" s="16">
        <f t="shared" si="48"/>
        <v>5.3479009556430439</v>
      </c>
      <c r="P87" s="16">
        <f t="shared" si="49"/>
        <v>6.5988931192775508</v>
      </c>
    </row>
    <row r="88" spans="1:16" ht="22.5" hidden="1" customHeight="1">
      <c r="B88" s="24">
        <f t="shared" si="52"/>
        <v>2.0833333333333333E-3</v>
      </c>
      <c r="C88" s="24">
        <v>21</v>
      </c>
      <c r="D88" s="24"/>
      <c r="E88" s="24">
        <f t="shared" si="53"/>
        <v>100</v>
      </c>
      <c r="F88" s="32">
        <f t="shared" si="50"/>
        <v>595.12833758890497</v>
      </c>
      <c r="G88" s="24"/>
      <c r="H88" s="33">
        <f t="shared" si="55"/>
        <v>100.20833333333339</v>
      </c>
      <c r="I88" s="33">
        <f t="shared" si="51"/>
        <v>1.0020833333333339</v>
      </c>
      <c r="J88" s="31">
        <f t="shared" si="54"/>
        <v>5.3479009556430759</v>
      </c>
      <c r="K88" s="31">
        <f t="shared" si="47"/>
        <v>1.2398507033102186</v>
      </c>
      <c r="L88" s="24"/>
      <c r="M88" s="24"/>
      <c r="O88" s="16">
        <f t="shared" si="48"/>
        <v>5.3590424159673002</v>
      </c>
      <c r="P88" s="16">
        <f t="shared" si="49"/>
        <v>6.5988931192775535</v>
      </c>
    </row>
    <row r="89" spans="1:16" ht="22.5" hidden="1" customHeight="1">
      <c r="B89" s="24">
        <f t="shared" si="52"/>
        <v>2.0833333333333333E-3</v>
      </c>
      <c r="C89" s="24">
        <v>22</v>
      </c>
      <c r="D89" s="24"/>
      <c r="E89" s="24">
        <f t="shared" si="53"/>
        <v>99</v>
      </c>
      <c r="F89" s="32">
        <f t="shared" si="50"/>
        <v>589.76929517293763</v>
      </c>
      <c r="G89" s="24"/>
      <c r="H89" s="33">
        <f t="shared" si="55"/>
        <v>99.206250000000054</v>
      </c>
      <c r="I89" s="33">
        <f t="shared" si="51"/>
        <v>1.0020833333333339</v>
      </c>
      <c r="J89" s="31">
        <f t="shared" si="54"/>
        <v>5.3590424159673349</v>
      </c>
      <c r="K89" s="31">
        <f t="shared" si="47"/>
        <v>1.2286860316102868</v>
      </c>
      <c r="L89" s="24"/>
      <c r="M89" s="24"/>
      <c r="O89" s="16">
        <f t="shared" si="48"/>
        <v>5.3702070876672323</v>
      </c>
      <c r="P89" s="16">
        <f t="shared" si="49"/>
        <v>6.5988931192775562</v>
      </c>
    </row>
    <row r="90" spans="1:16" ht="22.5" hidden="1" customHeight="1">
      <c r="B90" s="24">
        <f t="shared" si="52"/>
        <v>2.0833333333333333E-3</v>
      </c>
      <c r="C90" s="24">
        <v>23</v>
      </c>
      <c r="D90" s="24"/>
      <c r="E90" s="24">
        <f t="shared" si="53"/>
        <v>98</v>
      </c>
      <c r="F90" s="32">
        <f t="shared" si="50"/>
        <v>584.39908808527036</v>
      </c>
      <c r="G90" s="24"/>
      <c r="H90" s="33">
        <f t="shared" si="55"/>
        <v>98.204166666666723</v>
      </c>
      <c r="I90" s="33">
        <f t="shared" si="51"/>
        <v>1.0020833333333339</v>
      </c>
      <c r="J90" s="31">
        <f t="shared" si="54"/>
        <v>5.3702070876672696</v>
      </c>
      <c r="K90" s="31">
        <f t="shared" si="47"/>
        <v>1.2174981001776466</v>
      </c>
      <c r="L90" s="24"/>
      <c r="M90" s="24"/>
      <c r="O90" s="16">
        <f t="shared" si="48"/>
        <v>5.3813950190998723</v>
      </c>
      <c r="P90" s="16">
        <f t="shared" si="49"/>
        <v>6.5988931192775597</v>
      </c>
    </row>
    <row r="91" spans="1:16" ht="22.5" hidden="1" customHeight="1">
      <c r="A91" s="14">
        <v>2</v>
      </c>
      <c r="B91" s="34">
        <f t="shared" si="52"/>
        <v>2.0833333333333333E-3</v>
      </c>
      <c r="C91" s="34">
        <v>24</v>
      </c>
      <c r="D91" s="34"/>
      <c r="E91" s="34">
        <f t="shared" si="53"/>
        <v>97</v>
      </c>
      <c r="F91" s="35">
        <f t="shared" si="50"/>
        <v>579.01769306617041</v>
      </c>
      <c r="G91" s="34"/>
      <c r="H91" s="36">
        <f t="shared" si="55"/>
        <v>97.202083333333391</v>
      </c>
      <c r="I91" s="36">
        <f t="shared" si="51"/>
        <v>1.0020833333333339</v>
      </c>
      <c r="J91" s="31">
        <f t="shared" si="54"/>
        <v>5.3813950190999131</v>
      </c>
      <c r="K91" s="37">
        <f t="shared" si="47"/>
        <v>1.2062868605545216</v>
      </c>
      <c r="L91" s="38">
        <f>SUM(J81:J92)</f>
        <v>63.97643718445326</v>
      </c>
      <c r="M91" s="38">
        <f>SUM(K80:K91)</f>
        <v>15.210280246877309</v>
      </c>
      <c r="O91" s="16">
        <f t="shared" si="48"/>
        <v>5.3926062587229975</v>
      </c>
      <c r="P91" s="16">
        <f t="shared" si="49"/>
        <v>6.5988931192775624</v>
      </c>
    </row>
    <row r="92" spans="1:16" ht="22.5" hidden="1" customHeight="1">
      <c r="B92" s="24">
        <f t="shared" si="52"/>
        <v>2.0833333333333333E-3</v>
      </c>
      <c r="C92" s="24">
        <v>25</v>
      </c>
      <c r="D92" s="24"/>
      <c r="E92" s="24">
        <f t="shared" si="53"/>
        <v>96</v>
      </c>
      <c r="F92" s="32">
        <f t="shared" si="50"/>
        <v>573.62508680744736</v>
      </c>
      <c r="G92" s="24"/>
      <c r="H92" s="33">
        <f t="shared" si="55"/>
        <v>96.20000000000006</v>
      </c>
      <c r="I92" s="33">
        <f t="shared" si="51"/>
        <v>1.0020833333333339</v>
      </c>
      <c r="J92" s="37">
        <f t="shared" si="54"/>
        <v>5.392606258723041</v>
      </c>
      <c r="K92" s="31">
        <f t="shared" si="47"/>
        <v>1.1950522641821819</v>
      </c>
      <c r="L92" s="24"/>
      <c r="M92" s="24"/>
      <c r="O92" s="16">
        <f t="shared" si="48"/>
        <v>5.4038408550953374</v>
      </c>
      <c r="P92" s="16">
        <f t="shared" si="49"/>
        <v>6.5988931192775659</v>
      </c>
    </row>
    <row r="93" spans="1:16" ht="22.5" hidden="1" customHeight="1">
      <c r="B93" s="24">
        <f t="shared" si="52"/>
        <v>2.0833333333333333E-3</v>
      </c>
      <c r="C93" s="24">
        <v>26</v>
      </c>
      <c r="D93" s="24"/>
      <c r="E93" s="24">
        <f t="shared" si="53"/>
        <v>95</v>
      </c>
      <c r="F93" s="32">
        <f t="shared" si="50"/>
        <v>568.22124595235198</v>
      </c>
      <c r="G93" s="24"/>
      <c r="H93" s="33">
        <f t="shared" si="55"/>
        <v>95.197916666666728</v>
      </c>
      <c r="I93" s="33">
        <f t="shared" si="51"/>
        <v>1.0020833333333339</v>
      </c>
      <c r="J93" s="31">
        <f t="shared" si="54"/>
        <v>5.4038408550953836</v>
      </c>
      <c r="K93" s="31">
        <f t="shared" si="47"/>
        <v>1.1837942624007334</v>
      </c>
      <c r="L93" s="24"/>
      <c r="M93" s="24"/>
      <c r="O93" s="16">
        <f t="shared" si="48"/>
        <v>5.415098856876785</v>
      </c>
      <c r="P93" s="16">
        <f t="shared" si="49"/>
        <v>6.5988931192775695</v>
      </c>
    </row>
    <row r="94" spans="1:16" ht="22.5" hidden="1" customHeight="1">
      <c r="B94" s="24">
        <f t="shared" si="52"/>
        <v>2.0833333333333333E-3</v>
      </c>
      <c r="C94" s="24">
        <v>27</v>
      </c>
      <c r="D94" s="24"/>
      <c r="E94" s="24">
        <f t="shared" si="53"/>
        <v>94</v>
      </c>
      <c r="F94" s="32">
        <f t="shared" si="50"/>
        <v>562.80614709547513</v>
      </c>
      <c r="G94" s="24"/>
      <c r="H94" s="33">
        <f t="shared" si="55"/>
        <v>94.195833333333397</v>
      </c>
      <c r="I94" s="33">
        <f t="shared" si="51"/>
        <v>1.0020833333333341</v>
      </c>
      <c r="J94" s="31">
        <f t="shared" si="54"/>
        <v>5.4150988568768357</v>
      </c>
      <c r="K94" s="31">
        <f t="shared" si="47"/>
        <v>1.1725128064489065</v>
      </c>
      <c r="L94" s="24"/>
      <c r="M94" s="24"/>
      <c r="O94" s="16">
        <f t="shared" si="48"/>
        <v>5.4263803128286128</v>
      </c>
      <c r="P94" s="16">
        <f t="shared" si="49"/>
        <v>6.598893119277573</v>
      </c>
    </row>
    <row r="95" spans="1:16" ht="22.5" hidden="1" customHeight="1">
      <c r="B95" s="24">
        <f t="shared" si="52"/>
        <v>2.0833333333333333E-3</v>
      </c>
      <c r="C95" s="24">
        <v>28</v>
      </c>
      <c r="D95" s="24"/>
      <c r="E95" s="24">
        <f t="shared" si="53"/>
        <v>93</v>
      </c>
      <c r="F95" s="32">
        <f t="shared" si="50"/>
        <v>557.37976678264647</v>
      </c>
      <c r="G95" s="24"/>
      <c r="H95" s="33">
        <f t="shared" si="55"/>
        <v>93.193750000000065</v>
      </c>
      <c r="I95" s="33">
        <f t="shared" si="51"/>
        <v>1.0020833333333341</v>
      </c>
      <c r="J95" s="31">
        <f t="shared" si="54"/>
        <v>5.426380312828667</v>
      </c>
      <c r="K95" s="31">
        <f t="shared" si="47"/>
        <v>1.1612078474638468</v>
      </c>
      <c r="L95" s="24"/>
      <c r="M95" s="24"/>
      <c r="O95" s="16">
        <f t="shared" si="48"/>
        <v>5.4376852718136721</v>
      </c>
      <c r="P95" s="16">
        <f t="shared" si="49"/>
        <v>6.5988931192775775</v>
      </c>
    </row>
    <row r="96" spans="1:16" ht="22.5" hidden="1" customHeight="1">
      <c r="B96" s="24">
        <f t="shared" si="52"/>
        <v>2.0833333333333333E-3</v>
      </c>
      <c r="C96" s="24">
        <v>29</v>
      </c>
      <c r="D96" s="24"/>
      <c r="E96" s="24">
        <f t="shared" si="53"/>
        <v>92</v>
      </c>
      <c r="F96" s="32">
        <f t="shared" si="50"/>
        <v>551.94208151083274</v>
      </c>
      <c r="G96" s="24"/>
      <c r="H96" s="33">
        <f t="shared" si="55"/>
        <v>92.191666666666734</v>
      </c>
      <c r="I96" s="33">
        <f t="shared" si="51"/>
        <v>1.0020833333333341</v>
      </c>
      <c r="J96" s="31">
        <f t="shared" si="54"/>
        <v>5.4376852718137307</v>
      </c>
      <c r="K96" s="31">
        <f t="shared" si="47"/>
        <v>1.1498793364809015</v>
      </c>
      <c r="L96" s="24"/>
      <c r="M96" s="24"/>
      <c r="O96" s="16">
        <f t="shared" si="48"/>
        <v>5.4490137827966167</v>
      </c>
      <c r="P96" s="16">
        <f t="shared" si="49"/>
        <v>6.598893119277581</v>
      </c>
    </row>
    <row r="97" spans="1:16" ht="22.5" hidden="1" customHeight="1">
      <c r="B97" s="24">
        <f t="shared" si="52"/>
        <v>2.0833333333333333E-3</v>
      </c>
      <c r="C97" s="24">
        <v>30</v>
      </c>
      <c r="D97" s="24"/>
      <c r="E97" s="24">
        <f t="shared" si="53"/>
        <v>91</v>
      </c>
      <c r="F97" s="32">
        <f t="shared" si="50"/>
        <v>546.49306772803607</v>
      </c>
      <c r="G97" s="24"/>
      <c r="H97" s="33">
        <f t="shared" si="55"/>
        <v>91.189583333333402</v>
      </c>
      <c r="I97" s="33">
        <f t="shared" si="51"/>
        <v>1.0020833333333341</v>
      </c>
      <c r="J97" s="31">
        <f t="shared" si="54"/>
        <v>5.4490137827966798</v>
      </c>
      <c r="K97" s="31">
        <f t="shared" si="47"/>
        <v>1.1385272244334084</v>
      </c>
      <c r="L97" s="24"/>
      <c r="M97" s="24"/>
      <c r="O97" s="16">
        <f t="shared" si="48"/>
        <v>5.4603658948441094</v>
      </c>
      <c r="P97" s="16">
        <f t="shared" si="49"/>
        <v>6.5988931192775855</v>
      </c>
    </row>
    <row r="98" spans="1:16" ht="22.5" hidden="1" customHeight="1">
      <c r="B98" s="24">
        <f t="shared" si="52"/>
        <v>2.0833333333333333E-3</v>
      </c>
      <c r="C98" s="24">
        <v>31</v>
      </c>
      <c r="D98" s="24"/>
      <c r="E98" s="24">
        <f t="shared" si="53"/>
        <v>90</v>
      </c>
      <c r="F98" s="32">
        <f t="shared" si="50"/>
        <v>541.03270183319194</v>
      </c>
      <c r="G98" s="24"/>
      <c r="H98" s="33">
        <f t="shared" si="55"/>
        <v>90.187500000000071</v>
      </c>
      <c r="I98" s="33">
        <f t="shared" si="51"/>
        <v>1.0020833333333341</v>
      </c>
      <c r="J98" s="31">
        <f t="shared" si="54"/>
        <v>5.4603658948441769</v>
      </c>
      <c r="K98" s="31">
        <f t="shared" si="47"/>
        <v>1.1271514621524832</v>
      </c>
      <c r="L98" s="24"/>
      <c r="M98" s="24"/>
      <c r="O98" s="16">
        <f t="shared" si="48"/>
        <v>5.471741657125035</v>
      </c>
      <c r="P98" s="16">
        <f t="shared" si="49"/>
        <v>6.598893119277589</v>
      </c>
    </row>
    <row r="99" spans="1:16" ht="22.5" hidden="1" customHeight="1">
      <c r="B99" s="24">
        <f t="shared" si="52"/>
        <v>2.0833333333333333E-3</v>
      </c>
      <c r="C99" s="24">
        <v>32</v>
      </c>
      <c r="D99" s="24"/>
      <c r="E99" s="24">
        <f t="shared" si="53"/>
        <v>89</v>
      </c>
      <c r="F99" s="32">
        <f t="shared" si="50"/>
        <v>535.56096017606683</v>
      </c>
      <c r="G99" s="24"/>
      <c r="H99" s="33">
        <f t="shared" si="55"/>
        <v>89.18541666666674</v>
      </c>
      <c r="I99" s="33">
        <f t="shared" si="51"/>
        <v>1.0020833333333341</v>
      </c>
      <c r="J99" s="31">
        <f t="shared" si="54"/>
        <v>5.4717416571251061</v>
      </c>
      <c r="K99" s="31">
        <f t="shared" si="47"/>
        <v>1.1157520003668058</v>
      </c>
      <c r="L99" s="24"/>
      <c r="M99" s="24"/>
      <c r="O99" s="16">
        <f t="shared" si="48"/>
        <v>5.4831411189107122</v>
      </c>
      <c r="P99" s="16">
        <f t="shared" si="49"/>
        <v>6.5988931192775935</v>
      </c>
    </row>
    <row r="100" spans="1:16" ht="22.5" hidden="1" customHeight="1">
      <c r="B100" s="24">
        <f t="shared" si="52"/>
        <v>2.0833333333333333E-3</v>
      </c>
      <c r="C100" s="24">
        <v>33</v>
      </c>
      <c r="D100" s="24"/>
      <c r="E100" s="24">
        <f t="shared" si="53"/>
        <v>88</v>
      </c>
      <c r="F100" s="32">
        <f t="shared" si="50"/>
        <v>530.07781905715603</v>
      </c>
      <c r="G100" s="24"/>
      <c r="H100" s="33">
        <f t="shared" si="55"/>
        <v>88.183333333333408</v>
      </c>
      <c r="I100" s="33">
        <f t="shared" si="51"/>
        <v>1.0020833333333341</v>
      </c>
      <c r="J100" s="31">
        <f t="shared" si="54"/>
        <v>5.4831411189107877</v>
      </c>
      <c r="K100" s="31">
        <f t="shared" ref="K100:K131" si="56">F100*B100</f>
        <v>1.1043287897024083</v>
      </c>
      <c r="L100" s="24"/>
      <c r="M100" s="24"/>
      <c r="O100" s="16">
        <f t="shared" ref="O100:O131" si="57">PPMT(B100,C100,$E$68,$F$68)*(-1)</f>
        <v>5.4945643295751099</v>
      </c>
      <c r="P100" s="16">
        <f t="shared" ref="P100:P131" si="58">J101+K100</f>
        <v>6.5988931192775979</v>
      </c>
    </row>
    <row r="101" spans="1:16" ht="22.5" hidden="1" customHeight="1">
      <c r="B101" s="24">
        <f t="shared" si="52"/>
        <v>2.0833333333333333E-3</v>
      </c>
      <c r="C101" s="24">
        <v>34</v>
      </c>
      <c r="D101" s="24"/>
      <c r="E101" s="24">
        <f t="shared" si="53"/>
        <v>87</v>
      </c>
      <c r="F101" s="32">
        <f t="shared" ref="F101:F132" si="59">F100-J101</f>
        <v>524.58325472758088</v>
      </c>
      <c r="G101" s="24"/>
      <c r="H101" s="33">
        <f t="shared" si="55"/>
        <v>87.181250000000077</v>
      </c>
      <c r="I101" s="33">
        <f t="shared" si="51"/>
        <v>1.0020833333333343</v>
      </c>
      <c r="J101" s="31">
        <f t="shared" si="54"/>
        <v>5.4945643295751898</v>
      </c>
      <c r="K101" s="31">
        <f t="shared" si="56"/>
        <v>1.0928817806824602</v>
      </c>
      <c r="L101" s="24"/>
      <c r="M101" s="24"/>
      <c r="O101" s="16">
        <f t="shared" si="57"/>
        <v>5.5060113385950578</v>
      </c>
      <c r="P101" s="16">
        <f t="shared" si="58"/>
        <v>6.5988931192776041</v>
      </c>
    </row>
    <row r="102" spans="1:16" ht="22.5" hidden="1" customHeight="1">
      <c r="B102" s="24">
        <f t="shared" si="52"/>
        <v>2.0833333333333333E-3</v>
      </c>
      <c r="C102" s="24">
        <v>35</v>
      </c>
      <c r="D102" s="24"/>
      <c r="E102" s="24">
        <f t="shared" si="53"/>
        <v>86</v>
      </c>
      <c r="F102" s="32">
        <f t="shared" si="59"/>
        <v>519.07724338898572</v>
      </c>
      <c r="G102" s="24"/>
      <c r="H102" s="33">
        <f t="shared" si="55"/>
        <v>86.179166666666745</v>
      </c>
      <c r="I102" s="33">
        <f t="shared" si="51"/>
        <v>1.0020833333333343</v>
      </c>
      <c r="J102" s="31">
        <f t="shared" ref="J102:J133" si="60">I101*J101</f>
        <v>5.5060113385951439</v>
      </c>
      <c r="K102" s="31">
        <f t="shared" si="56"/>
        <v>1.0814109237270535</v>
      </c>
      <c r="L102" s="24"/>
      <c r="M102" s="24"/>
      <c r="O102" s="16">
        <f t="shared" si="57"/>
        <v>5.517482195550464</v>
      </c>
      <c r="P102" s="16">
        <f t="shared" si="58"/>
        <v>6.5988931192776086</v>
      </c>
    </row>
    <row r="103" spans="1:16" ht="22.5" hidden="1" customHeight="1">
      <c r="A103" s="14">
        <v>3</v>
      </c>
      <c r="B103" s="34">
        <f t="shared" si="52"/>
        <v>2.0833333333333333E-3</v>
      </c>
      <c r="C103" s="34">
        <v>36</v>
      </c>
      <c r="D103" s="34"/>
      <c r="E103" s="34">
        <f t="shared" si="53"/>
        <v>85</v>
      </c>
      <c r="F103" s="35">
        <f t="shared" si="59"/>
        <v>513.55976119343518</v>
      </c>
      <c r="G103" s="34"/>
      <c r="H103" s="36">
        <f t="shared" si="55"/>
        <v>85.177083333333414</v>
      </c>
      <c r="I103" s="36">
        <f t="shared" si="51"/>
        <v>1.0020833333333343</v>
      </c>
      <c r="J103" s="31">
        <f t="shared" si="60"/>
        <v>5.5174821955505555</v>
      </c>
      <c r="K103" s="37">
        <f t="shared" si="56"/>
        <v>1.0699161691529899</v>
      </c>
      <c r="L103" s="38">
        <f>SUM(J93:J104)</f>
        <v>65.594302564136882</v>
      </c>
      <c r="M103" s="38">
        <f>SUM(K92:K103)</f>
        <v>13.592414867194181</v>
      </c>
      <c r="O103" s="16">
        <f t="shared" si="57"/>
        <v>5.5289769501245276</v>
      </c>
      <c r="P103" s="16">
        <f t="shared" si="58"/>
        <v>6.5988931192776139</v>
      </c>
    </row>
    <row r="104" spans="1:16" ht="22.5" hidden="1" customHeight="1">
      <c r="B104" s="24">
        <f t="shared" si="52"/>
        <v>2.0833333333333333E-3</v>
      </c>
      <c r="C104" s="24">
        <v>37</v>
      </c>
      <c r="D104" s="24"/>
      <c r="E104" s="24">
        <f t="shared" si="53"/>
        <v>84</v>
      </c>
      <c r="F104" s="32">
        <f t="shared" si="59"/>
        <v>508.03078424331056</v>
      </c>
      <c r="G104" s="24"/>
      <c r="H104" s="33">
        <f t="shared" si="55"/>
        <v>84.175000000000082</v>
      </c>
      <c r="I104" s="33">
        <f t="shared" si="51"/>
        <v>1.0020833333333343</v>
      </c>
      <c r="J104" s="37">
        <f t="shared" si="60"/>
        <v>5.5289769501246244</v>
      </c>
      <c r="K104" s="31">
        <f t="shared" si="56"/>
        <v>1.0583974671735636</v>
      </c>
      <c r="L104" s="24"/>
      <c r="M104" s="24"/>
      <c r="O104" s="16">
        <f t="shared" si="57"/>
        <v>5.5404956521039539</v>
      </c>
      <c r="P104" s="16">
        <f t="shared" si="58"/>
        <v>6.5988931192776192</v>
      </c>
    </row>
    <row r="105" spans="1:16" ht="22.5" hidden="1" customHeight="1">
      <c r="B105" s="24">
        <f t="shared" si="52"/>
        <v>2.0833333333333333E-3</v>
      </c>
      <c r="C105" s="24">
        <v>38</v>
      </c>
      <c r="D105" s="24"/>
      <c r="E105" s="24">
        <f t="shared" si="53"/>
        <v>83</v>
      </c>
      <c r="F105" s="32">
        <f t="shared" si="59"/>
        <v>502.49028859120654</v>
      </c>
      <c r="G105" s="24"/>
      <c r="H105" s="33">
        <f t="shared" si="55"/>
        <v>83.172916666666751</v>
      </c>
      <c r="I105" s="33">
        <f t="shared" si="51"/>
        <v>1.0020833333333343</v>
      </c>
      <c r="J105" s="31">
        <f t="shared" si="60"/>
        <v>5.540495652104056</v>
      </c>
      <c r="K105" s="31">
        <f t="shared" si="56"/>
        <v>1.0468547678983469</v>
      </c>
      <c r="L105" s="24"/>
      <c r="M105" s="24"/>
      <c r="O105" s="16">
        <f t="shared" si="57"/>
        <v>5.5520383513791698</v>
      </c>
      <c r="P105" s="16">
        <f t="shared" si="58"/>
        <v>6.5988931192776246</v>
      </c>
    </row>
    <row r="106" spans="1:16" ht="22.5" hidden="1" customHeight="1">
      <c r="B106" s="24">
        <f t="shared" si="52"/>
        <v>2.0833333333333333E-3</v>
      </c>
      <c r="C106" s="24">
        <v>39</v>
      </c>
      <c r="D106" s="24"/>
      <c r="E106" s="24">
        <f t="shared" si="53"/>
        <v>82</v>
      </c>
      <c r="F106" s="32">
        <f t="shared" si="59"/>
        <v>496.93825023982725</v>
      </c>
      <c r="G106" s="24"/>
      <c r="H106" s="33">
        <f t="shared" si="55"/>
        <v>82.17083333333342</v>
      </c>
      <c r="I106" s="33">
        <f t="shared" si="51"/>
        <v>1.0020833333333343</v>
      </c>
      <c r="J106" s="31">
        <f t="shared" si="60"/>
        <v>5.5520383513792781</v>
      </c>
      <c r="K106" s="31">
        <f t="shared" si="56"/>
        <v>1.0352880213329734</v>
      </c>
      <c r="L106" s="24"/>
      <c r="M106" s="24"/>
      <c r="O106" s="16">
        <f t="shared" si="57"/>
        <v>5.5636050979445439</v>
      </c>
      <c r="P106" s="16">
        <f t="shared" si="58"/>
        <v>6.5988931192776299</v>
      </c>
    </row>
    <row r="107" spans="1:16" ht="22.5" hidden="1" customHeight="1">
      <c r="B107" s="24">
        <f t="shared" si="52"/>
        <v>2.0833333333333333E-3</v>
      </c>
      <c r="C107" s="24">
        <v>40</v>
      </c>
      <c r="D107" s="24"/>
      <c r="E107" s="24">
        <f t="shared" si="53"/>
        <v>81</v>
      </c>
      <c r="F107" s="32">
        <f t="shared" si="59"/>
        <v>491.37464514188258</v>
      </c>
      <c r="G107" s="24"/>
      <c r="H107" s="33">
        <f t="shared" si="55"/>
        <v>81.168750000000088</v>
      </c>
      <c r="I107" s="33">
        <f t="shared" si="51"/>
        <v>1.0020833333333343</v>
      </c>
      <c r="J107" s="31">
        <f t="shared" si="60"/>
        <v>5.5636050979446567</v>
      </c>
      <c r="K107" s="31">
        <f t="shared" si="56"/>
        <v>1.0236971773789221</v>
      </c>
      <c r="L107" s="24"/>
      <c r="M107" s="24"/>
      <c r="O107" s="16">
        <f t="shared" si="57"/>
        <v>5.5751959418985955</v>
      </c>
      <c r="P107" s="16">
        <f t="shared" si="58"/>
        <v>6.5988931192776352</v>
      </c>
    </row>
    <row r="108" spans="1:16" ht="22.5" hidden="1" customHeight="1">
      <c r="B108" s="24">
        <f t="shared" si="52"/>
        <v>2.0833333333333333E-3</v>
      </c>
      <c r="C108" s="24">
        <v>41</v>
      </c>
      <c r="D108" s="24"/>
      <c r="E108" s="24">
        <f t="shared" si="53"/>
        <v>80</v>
      </c>
      <c r="F108" s="32">
        <f t="shared" si="59"/>
        <v>485.79944919998388</v>
      </c>
      <c r="G108" s="24"/>
      <c r="H108" s="33">
        <f t="shared" si="55"/>
        <v>80.166666666666757</v>
      </c>
      <c r="I108" s="33">
        <f t="shared" si="51"/>
        <v>1.0020833333333345</v>
      </c>
      <c r="J108" s="31">
        <f t="shared" si="60"/>
        <v>5.5751959418987136</v>
      </c>
      <c r="K108" s="31">
        <f t="shared" si="56"/>
        <v>1.0120821858332998</v>
      </c>
      <c r="L108" s="24"/>
      <c r="M108" s="24"/>
      <c r="O108" s="16">
        <f t="shared" si="57"/>
        <v>5.5868109334442169</v>
      </c>
      <c r="P108" s="16">
        <f t="shared" si="58"/>
        <v>6.5988931192776423</v>
      </c>
    </row>
    <row r="109" spans="1:16" ht="22.5" hidden="1" customHeight="1">
      <c r="B109" s="24">
        <f t="shared" si="52"/>
        <v>2.0833333333333333E-3</v>
      </c>
      <c r="C109" s="24">
        <v>42</v>
      </c>
      <c r="D109" s="24"/>
      <c r="E109" s="24">
        <f t="shared" si="53"/>
        <v>79</v>
      </c>
      <c r="F109" s="32">
        <f t="shared" si="59"/>
        <v>480.21263826653956</v>
      </c>
      <c r="G109" s="24"/>
      <c r="H109" s="33">
        <f t="shared" si="55"/>
        <v>79.164583333333425</v>
      </c>
      <c r="I109" s="33">
        <f t="shared" si="51"/>
        <v>1.0020833333333345</v>
      </c>
      <c r="J109" s="31">
        <f t="shared" si="60"/>
        <v>5.586810933444343</v>
      </c>
      <c r="K109" s="31">
        <f t="shared" si="56"/>
        <v>1.0004429963886241</v>
      </c>
      <c r="L109" s="24"/>
      <c r="M109" s="24"/>
      <c r="O109" s="16">
        <f t="shared" si="57"/>
        <v>5.5984501228888917</v>
      </c>
      <c r="P109" s="16">
        <f t="shared" si="58"/>
        <v>6.5988931192776494</v>
      </c>
    </row>
    <row r="110" spans="1:16" ht="22.5" hidden="1" customHeight="1">
      <c r="B110" s="24">
        <f t="shared" si="52"/>
        <v>2.0833333333333333E-3</v>
      </c>
      <c r="C110" s="24">
        <v>43</v>
      </c>
      <c r="D110" s="24"/>
      <c r="E110" s="24">
        <f t="shared" si="53"/>
        <v>78</v>
      </c>
      <c r="F110" s="32">
        <f t="shared" si="59"/>
        <v>474.61418814365055</v>
      </c>
      <c r="G110" s="24"/>
      <c r="H110" s="33">
        <f t="shared" si="55"/>
        <v>78.162500000000094</v>
      </c>
      <c r="I110" s="33">
        <f t="shared" si="51"/>
        <v>1.0020833333333345</v>
      </c>
      <c r="J110" s="31">
        <f t="shared" si="60"/>
        <v>5.5984501228890258</v>
      </c>
      <c r="K110" s="31">
        <f t="shared" si="56"/>
        <v>0.98877955863260525</v>
      </c>
      <c r="L110" s="24"/>
      <c r="M110" s="24"/>
      <c r="O110" s="16">
        <f t="shared" si="57"/>
        <v>5.6101135606449102</v>
      </c>
      <c r="P110" s="16">
        <f t="shared" si="58"/>
        <v>6.5988931192776565</v>
      </c>
    </row>
    <row r="111" spans="1:16" ht="22.5" hidden="1" customHeight="1">
      <c r="B111" s="24">
        <f t="shared" si="52"/>
        <v>2.0833333333333333E-3</v>
      </c>
      <c r="C111" s="24">
        <v>44</v>
      </c>
      <c r="D111" s="24"/>
      <c r="E111" s="24">
        <f t="shared" si="53"/>
        <v>77</v>
      </c>
      <c r="F111" s="32">
        <f t="shared" si="59"/>
        <v>469.00407458300549</v>
      </c>
      <c r="G111" s="24"/>
      <c r="H111" s="33">
        <f t="shared" si="55"/>
        <v>77.160416666666762</v>
      </c>
      <c r="I111" s="33">
        <f t="shared" si="51"/>
        <v>1.0020833333333345</v>
      </c>
      <c r="J111" s="31">
        <f t="shared" si="60"/>
        <v>5.6101135606450514</v>
      </c>
      <c r="K111" s="31">
        <f t="shared" si="56"/>
        <v>0.9770918220479281</v>
      </c>
      <c r="L111" s="24"/>
      <c r="M111" s="24"/>
      <c r="O111" s="16">
        <f t="shared" si="57"/>
        <v>5.6218012972295872</v>
      </c>
      <c r="P111" s="16">
        <f t="shared" si="58"/>
        <v>6.5988931192776636</v>
      </c>
    </row>
    <row r="112" spans="1:16" ht="22.5" hidden="1" customHeight="1">
      <c r="B112" s="24">
        <f t="shared" si="52"/>
        <v>2.0833333333333333E-3</v>
      </c>
      <c r="C112" s="24">
        <v>45</v>
      </c>
      <c r="D112" s="24"/>
      <c r="E112" s="24">
        <f t="shared" si="53"/>
        <v>76</v>
      </c>
      <c r="F112" s="32">
        <f t="shared" si="59"/>
        <v>463.38227328577574</v>
      </c>
      <c r="G112" s="24"/>
      <c r="H112" s="33">
        <f t="shared" si="55"/>
        <v>76.158333333333431</v>
      </c>
      <c r="I112" s="33">
        <f t="shared" si="51"/>
        <v>1.0020833333333345</v>
      </c>
      <c r="J112" s="31">
        <f t="shared" si="60"/>
        <v>5.6218012972297355</v>
      </c>
      <c r="K112" s="31">
        <f t="shared" si="56"/>
        <v>0.96537973601203275</v>
      </c>
      <c r="L112" s="24"/>
      <c r="M112" s="24"/>
      <c r="O112" s="16">
        <f t="shared" si="57"/>
        <v>5.6335133832654822</v>
      </c>
      <c r="P112" s="16">
        <f t="shared" si="58"/>
        <v>6.5988931192776707</v>
      </c>
    </row>
    <row r="113" spans="1:16" ht="22.5" hidden="1" customHeight="1">
      <c r="B113" s="24">
        <f t="shared" si="52"/>
        <v>2.0833333333333333E-3</v>
      </c>
      <c r="C113" s="24">
        <v>46</v>
      </c>
      <c r="D113" s="24"/>
      <c r="E113" s="24">
        <f t="shared" si="53"/>
        <v>75</v>
      </c>
      <c r="F113" s="32">
        <f t="shared" si="59"/>
        <v>457.74875990251007</v>
      </c>
      <c r="G113" s="24"/>
      <c r="H113" s="33">
        <f t="shared" si="55"/>
        <v>75.156250000000099</v>
      </c>
      <c r="I113" s="33">
        <f t="shared" si="51"/>
        <v>1.0020833333333348</v>
      </c>
      <c r="J113" s="31">
        <f t="shared" si="60"/>
        <v>5.6335133832656377</v>
      </c>
      <c r="K113" s="31">
        <f t="shared" si="56"/>
        <v>0.95364324979689596</v>
      </c>
      <c r="L113" s="24"/>
      <c r="M113" s="24"/>
      <c r="O113" s="16">
        <f t="shared" si="57"/>
        <v>5.6452498694806197</v>
      </c>
      <c r="P113" s="16">
        <f t="shared" si="58"/>
        <v>6.5988931192776779</v>
      </c>
    </row>
    <row r="114" spans="1:16" ht="22.5" hidden="1" customHeight="1">
      <c r="B114" s="24">
        <f t="shared" si="52"/>
        <v>2.0833333333333333E-3</v>
      </c>
      <c r="C114" s="24">
        <v>47</v>
      </c>
      <c r="D114" s="24"/>
      <c r="E114" s="24">
        <f t="shared" si="53"/>
        <v>74</v>
      </c>
      <c r="F114" s="32">
        <f t="shared" si="59"/>
        <v>452.10351003302929</v>
      </c>
      <c r="G114" s="24"/>
      <c r="H114" s="33">
        <f t="shared" si="55"/>
        <v>74.154166666666768</v>
      </c>
      <c r="I114" s="33">
        <f t="shared" si="51"/>
        <v>1.0020833333333348</v>
      </c>
      <c r="J114" s="31">
        <f t="shared" si="60"/>
        <v>5.6452498694807822</v>
      </c>
      <c r="K114" s="31">
        <f t="shared" si="56"/>
        <v>0.94188231256881105</v>
      </c>
      <c r="L114" s="24"/>
      <c r="M114" s="24"/>
      <c r="O114" s="16">
        <f t="shared" si="57"/>
        <v>5.657010806708703</v>
      </c>
      <c r="P114" s="16">
        <f t="shared" si="58"/>
        <v>6.5988931192776867</v>
      </c>
    </row>
    <row r="115" spans="1:16" ht="22.5" hidden="1" customHeight="1">
      <c r="A115" s="14">
        <v>4</v>
      </c>
      <c r="B115" s="34">
        <f t="shared" si="52"/>
        <v>2.0833333333333333E-3</v>
      </c>
      <c r="C115" s="34">
        <v>48</v>
      </c>
      <c r="D115" s="34"/>
      <c r="E115" s="34">
        <f t="shared" si="53"/>
        <v>73</v>
      </c>
      <c r="F115" s="35">
        <f t="shared" si="59"/>
        <v>446.44649922632044</v>
      </c>
      <c r="G115" s="34"/>
      <c r="H115" s="36">
        <f t="shared" si="55"/>
        <v>73.152083333333437</v>
      </c>
      <c r="I115" s="36">
        <f t="shared" si="51"/>
        <v>1.0020833333333348</v>
      </c>
      <c r="J115" s="31">
        <f t="shared" si="60"/>
        <v>5.6570108067088754</v>
      </c>
      <c r="K115" s="37">
        <f t="shared" si="56"/>
        <v>0.9300968733881676</v>
      </c>
      <c r="L115" s="38">
        <f>SUM(J105:J116)</f>
        <v>67.253081262879689</v>
      </c>
      <c r="M115" s="38">
        <f>SUM(K104:K115)</f>
        <v>11.933636168452171</v>
      </c>
      <c r="O115" s="16">
        <f t="shared" si="57"/>
        <v>5.6687962458893466</v>
      </c>
      <c r="P115" s="16">
        <f t="shared" si="58"/>
        <v>6.5988931192776947</v>
      </c>
    </row>
    <row r="116" spans="1:16" ht="22.5" hidden="1" customHeight="1">
      <c r="B116" s="24">
        <f t="shared" si="52"/>
        <v>2.0833333333333333E-3</v>
      </c>
      <c r="C116" s="24">
        <v>49</v>
      </c>
      <c r="D116" s="24"/>
      <c r="E116" s="24">
        <f t="shared" si="53"/>
        <v>72</v>
      </c>
      <c r="F116" s="32">
        <f t="shared" si="59"/>
        <v>440.77770298043089</v>
      </c>
      <c r="G116" s="24"/>
      <c r="H116" s="33">
        <f t="shared" si="55"/>
        <v>72.150000000000105</v>
      </c>
      <c r="I116" s="33">
        <f t="shared" si="51"/>
        <v>1.0020833333333348</v>
      </c>
      <c r="J116" s="37">
        <f t="shared" si="60"/>
        <v>5.6687962458895269</v>
      </c>
      <c r="K116" s="31">
        <f t="shared" si="56"/>
        <v>0.91828688120923097</v>
      </c>
      <c r="L116" s="24"/>
      <c r="M116" s="24"/>
      <c r="O116" s="16">
        <f t="shared" si="57"/>
        <v>5.6806062380682825</v>
      </c>
      <c r="P116" s="16">
        <f t="shared" si="58"/>
        <v>6.5988931192777027</v>
      </c>
    </row>
    <row r="117" spans="1:16" ht="22.5" hidden="1" customHeight="1">
      <c r="B117" s="24">
        <f t="shared" si="52"/>
        <v>2.0833333333333333E-3</v>
      </c>
      <c r="C117" s="24">
        <v>50</v>
      </c>
      <c r="D117" s="24"/>
      <c r="E117" s="24">
        <f t="shared" si="53"/>
        <v>71</v>
      </c>
      <c r="F117" s="32">
        <f t="shared" si="59"/>
        <v>435.0970967423624</v>
      </c>
      <c r="G117" s="24"/>
      <c r="H117" s="33">
        <f t="shared" si="55"/>
        <v>71.147916666666774</v>
      </c>
      <c r="I117" s="33">
        <f t="shared" si="51"/>
        <v>1.0020833333333348</v>
      </c>
      <c r="J117" s="31">
        <f t="shared" si="60"/>
        <v>5.6806062380684716</v>
      </c>
      <c r="K117" s="31">
        <f t="shared" si="56"/>
        <v>0.90645228487992169</v>
      </c>
      <c r="L117" s="24"/>
      <c r="M117" s="24"/>
      <c r="O117" s="16">
        <f t="shared" si="57"/>
        <v>5.6924408343975914</v>
      </c>
      <c r="P117" s="16">
        <f t="shared" si="58"/>
        <v>6.5988931192777116</v>
      </c>
    </row>
    <row r="118" spans="1:16" ht="22.5" hidden="1" customHeight="1">
      <c r="B118" s="24">
        <f t="shared" si="52"/>
        <v>2.0833333333333333E-3</v>
      </c>
      <c r="C118" s="24">
        <v>51</v>
      </c>
      <c r="D118" s="24"/>
      <c r="E118" s="24">
        <f t="shared" si="53"/>
        <v>70</v>
      </c>
      <c r="F118" s="32">
        <f t="shared" si="59"/>
        <v>429.40465590796458</v>
      </c>
      <c r="G118" s="24"/>
      <c r="H118" s="33">
        <f t="shared" si="55"/>
        <v>70.145833333333442</v>
      </c>
      <c r="I118" s="33">
        <f t="shared" si="51"/>
        <v>1.002083333333335</v>
      </c>
      <c r="J118" s="31">
        <f t="shared" si="60"/>
        <v>5.6924408343977895</v>
      </c>
      <c r="K118" s="31">
        <f t="shared" si="56"/>
        <v>0.89459303314159289</v>
      </c>
      <c r="L118" s="24"/>
      <c r="M118" s="24"/>
      <c r="O118" s="16">
        <f t="shared" si="57"/>
        <v>5.7043000861359197</v>
      </c>
      <c r="P118" s="16">
        <f t="shared" si="58"/>
        <v>6.5988931192777205</v>
      </c>
    </row>
    <row r="119" spans="1:16" ht="22.5" hidden="1" customHeight="1">
      <c r="B119" s="24">
        <f t="shared" si="52"/>
        <v>2.0833333333333333E-3</v>
      </c>
      <c r="C119" s="24">
        <v>52</v>
      </c>
      <c r="D119" s="24"/>
      <c r="E119" s="24">
        <f t="shared" si="53"/>
        <v>69</v>
      </c>
      <c r="F119" s="32">
        <f t="shared" si="59"/>
        <v>423.70035582182845</v>
      </c>
      <c r="G119" s="24"/>
      <c r="H119" s="33">
        <f t="shared" si="55"/>
        <v>69.143750000000111</v>
      </c>
      <c r="I119" s="33">
        <f t="shared" si="51"/>
        <v>1.002083333333335</v>
      </c>
      <c r="J119" s="31">
        <f t="shared" si="60"/>
        <v>5.7043000861361275</v>
      </c>
      <c r="K119" s="31">
        <f t="shared" si="56"/>
        <v>0.88270907462880921</v>
      </c>
      <c r="L119" s="24"/>
      <c r="M119" s="24"/>
      <c r="O119" s="16">
        <f t="shared" si="57"/>
        <v>5.7161840446487036</v>
      </c>
      <c r="P119" s="16">
        <f t="shared" si="58"/>
        <v>6.5988931192777294</v>
      </c>
    </row>
    <row r="120" spans="1:16" ht="22.5" hidden="1" customHeight="1">
      <c r="B120" s="24">
        <f t="shared" si="52"/>
        <v>2.0833333333333333E-3</v>
      </c>
      <c r="C120" s="24">
        <v>53</v>
      </c>
      <c r="D120" s="24"/>
      <c r="E120" s="24">
        <f t="shared" si="53"/>
        <v>68</v>
      </c>
      <c r="F120" s="32">
        <f t="shared" si="59"/>
        <v>417.98417177717954</v>
      </c>
      <c r="G120" s="24"/>
      <c r="H120" s="33">
        <f t="shared" si="55"/>
        <v>68.141666666666779</v>
      </c>
      <c r="I120" s="33">
        <f t="shared" si="51"/>
        <v>1.002083333333335</v>
      </c>
      <c r="J120" s="31">
        <f t="shared" si="60"/>
        <v>5.7161840446489203</v>
      </c>
      <c r="K120" s="31">
        <f t="shared" si="56"/>
        <v>0.87080035786912402</v>
      </c>
      <c r="L120" s="24"/>
      <c r="M120" s="24"/>
      <c r="O120" s="16">
        <f t="shared" si="57"/>
        <v>5.7280927614083881</v>
      </c>
      <c r="P120" s="16">
        <f t="shared" si="58"/>
        <v>6.5988931192777383</v>
      </c>
    </row>
    <row r="121" spans="1:16" ht="22.5" hidden="1" customHeight="1">
      <c r="B121" s="24">
        <f t="shared" si="52"/>
        <v>2.0833333333333333E-3</v>
      </c>
      <c r="C121" s="24">
        <v>54</v>
      </c>
      <c r="D121" s="24"/>
      <c r="E121" s="24">
        <f t="shared" si="53"/>
        <v>67</v>
      </c>
      <c r="F121" s="32">
        <f t="shared" si="59"/>
        <v>412.25607901577092</v>
      </c>
      <c r="G121" s="24"/>
      <c r="H121" s="33">
        <f t="shared" si="55"/>
        <v>67.139583333333448</v>
      </c>
      <c r="I121" s="33">
        <f t="shared" si="51"/>
        <v>1.002083333333335</v>
      </c>
      <c r="J121" s="31">
        <f t="shared" si="60"/>
        <v>5.7280927614086146</v>
      </c>
      <c r="K121" s="31">
        <f t="shared" si="56"/>
        <v>0.85886683128285612</v>
      </c>
      <c r="L121" s="24"/>
      <c r="M121" s="24"/>
      <c r="O121" s="16">
        <f t="shared" si="57"/>
        <v>5.740026287994656</v>
      </c>
      <c r="P121" s="16">
        <f t="shared" si="58"/>
        <v>6.598893119277748</v>
      </c>
    </row>
    <row r="122" spans="1:16" ht="22.5" hidden="1" customHeight="1">
      <c r="B122" s="24">
        <f t="shared" si="52"/>
        <v>2.0833333333333333E-3</v>
      </c>
      <c r="C122" s="24">
        <v>55</v>
      </c>
      <c r="D122" s="24"/>
      <c r="E122" s="24">
        <f t="shared" si="53"/>
        <v>66</v>
      </c>
      <c r="F122" s="32">
        <f t="shared" si="59"/>
        <v>406.51605272777601</v>
      </c>
      <c r="G122" s="24"/>
      <c r="H122" s="33">
        <f t="shared" si="55"/>
        <v>66.137500000000117</v>
      </c>
      <c r="I122" s="33">
        <f t="shared" si="51"/>
        <v>1.002083333333335</v>
      </c>
      <c r="J122" s="31">
        <f t="shared" si="60"/>
        <v>5.7400262879948922</v>
      </c>
      <c r="K122" s="31">
        <f t="shared" si="56"/>
        <v>0.84690844318286673</v>
      </c>
      <c r="L122" s="24"/>
      <c r="M122" s="24"/>
      <c r="O122" s="16">
        <f t="shared" si="57"/>
        <v>5.7519846760946454</v>
      </c>
      <c r="P122" s="16">
        <f t="shared" si="58"/>
        <v>6.5988931192777578</v>
      </c>
    </row>
    <row r="123" spans="1:16" ht="22.5" hidden="1" customHeight="1">
      <c r="B123" s="24">
        <f t="shared" si="52"/>
        <v>2.0833333333333333E-3</v>
      </c>
      <c r="C123" s="24">
        <v>56</v>
      </c>
      <c r="D123" s="24"/>
      <c r="E123" s="24">
        <f t="shared" si="53"/>
        <v>65</v>
      </c>
      <c r="F123" s="32">
        <f t="shared" si="59"/>
        <v>400.76406805168114</v>
      </c>
      <c r="G123" s="24"/>
      <c r="H123" s="33">
        <f t="shared" si="55"/>
        <v>65.135416666666785</v>
      </c>
      <c r="I123" s="33">
        <f t="shared" si="51"/>
        <v>1.0020833333333352</v>
      </c>
      <c r="J123" s="31">
        <f t="shared" si="60"/>
        <v>5.7519846760948914</v>
      </c>
      <c r="K123" s="31">
        <f t="shared" si="56"/>
        <v>0.83492514177433563</v>
      </c>
      <c r="L123" s="24"/>
      <c r="M123" s="24"/>
      <c r="O123" s="16">
        <f t="shared" si="57"/>
        <v>5.7639679775031754</v>
      </c>
      <c r="P123" s="16">
        <f t="shared" si="58"/>
        <v>6.5988931192777684</v>
      </c>
    </row>
    <row r="124" spans="1:16" ht="22.5" hidden="1" customHeight="1">
      <c r="B124" s="24">
        <f t="shared" si="52"/>
        <v>2.0833333333333333E-3</v>
      </c>
      <c r="C124" s="24">
        <v>57</v>
      </c>
      <c r="D124" s="24"/>
      <c r="E124" s="24">
        <f t="shared" si="53"/>
        <v>64</v>
      </c>
      <c r="F124" s="32">
        <f t="shared" si="59"/>
        <v>395.00010007417768</v>
      </c>
      <c r="G124" s="24"/>
      <c r="H124" s="33">
        <f t="shared" si="55"/>
        <v>64.133333333333454</v>
      </c>
      <c r="I124" s="33">
        <f t="shared" si="51"/>
        <v>1.0020833333333352</v>
      </c>
      <c r="J124" s="31">
        <f t="shared" si="60"/>
        <v>5.7639679775034329</v>
      </c>
      <c r="K124" s="31">
        <f t="shared" si="56"/>
        <v>0.82291687515453682</v>
      </c>
      <c r="L124" s="24"/>
      <c r="M124" s="24"/>
      <c r="O124" s="16">
        <f t="shared" si="57"/>
        <v>5.7759762441229734</v>
      </c>
      <c r="P124" s="16">
        <f t="shared" si="58"/>
        <v>6.5988931192777791</v>
      </c>
    </row>
    <row r="125" spans="1:16" ht="22.5" hidden="1" customHeight="1">
      <c r="B125" s="24">
        <f t="shared" si="52"/>
        <v>2.0833333333333333E-3</v>
      </c>
      <c r="C125" s="24">
        <v>58</v>
      </c>
      <c r="D125" s="24"/>
      <c r="E125" s="24">
        <f t="shared" si="53"/>
        <v>63</v>
      </c>
      <c r="F125" s="32">
        <f t="shared" si="59"/>
        <v>389.22412383005445</v>
      </c>
      <c r="G125" s="24"/>
      <c r="H125" s="33">
        <f t="shared" si="55"/>
        <v>63.131250000000115</v>
      </c>
      <c r="I125" s="33">
        <f t="shared" si="51"/>
        <v>1.0020833333333352</v>
      </c>
      <c r="J125" s="31">
        <f t="shared" si="60"/>
        <v>5.7759762441232425</v>
      </c>
      <c r="K125" s="31">
        <f t="shared" si="56"/>
        <v>0.81088359131261345</v>
      </c>
      <c r="L125" s="24"/>
      <c r="M125" s="24"/>
      <c r="O125" s="16">
        <f t="shared" si="57"/>
        <v>5.7880095279648955</v>
      </c>
      <c r="P125" s="16">
        <f t="shared" si="58"/>
        <v>6.5988931192777907</v>
      </c>
    </row>
    <row r="126" spans="1:16" ht="22.5" hidden="1" customHeight="1">
      <c r="B126" s="24">
        <f t="shared" si="52"/>
        <v>2.0833333333333333E-3</v>
      </c>
      <c r="C126" s="24">
        <v>59</v>
      </c>
      <c r="D126" s="24"/>
      <c r="E126" s="24">
        <f t="shared" si="53"/>
        <v>62</v>
      </c>
      <c r="F126" s="32">
        <f t="shared" si="59"/>
        <v>383.43611430208927</v>
      </c>
      <c r="G126" s="24"/>
      <c r="H126" s="33">
        <f t="shared" si="55"/>
        <v>62.129166666666777</v>
      </c>
      <c r="I126" s="33">
        <f t="shared" si="51"/>
        <v>1.0020833333333352</v>
      </c>
      <c r="J126" s="31">
        <f t="shared" si="60"/>
        <v>5.7880095279651771</v>
      </c>
      <c r="K126" s="31">
        <f t="shared" si="56"/>
        <v>0.79882523812935258</v>
      </c>
      <c r="L126" s="24"/>
      <c r="M126" s="24"/>
      <c r="O126" s="16">
        <f t="shared" si="57"/>
        <v>5.8000678811481556</v>
      </c>
      <c r="P126" s="16">
        <f t="shared" si="58"/>
        <v>6.5988931192778013</v>
      </c>
    </row>
    <row r="127" spans="1:16" ht="22.5" hidden="1" customHeight="1">
      <c r="A127" s="14">
        <v>5</v>
      </c>
      <c r="B127" s="34">
        <f t="shared" si="52"/>
        <v>2.0833333333333333E-3</v>
      </c>
      <c r="C127" s="34">
        <v>60</v>
      </c>
      <c r="D127" s="34"/>
      <c r="E127" s="34">
        <f t="shared" si="53"/>
        <v>61</v>
      </c>
      <c r="F127" s="35">
        <f t="shared" si="59"/>
        <v>377.63604642094083</v>
      </c>
      <c r="G127" s="34"/>
      <c r="H127" s="36">
        <f t="shared" si="55"/>
        <v>61.127083333333438</v>
      </c>
      <c r="I127" s="36">
        <f t="shared" si="51"/>
        <v>1.002083333333335</v>
      </c>
      <c r="J127" s="31">
        <f t="shared" si="60"/>
        <v>5.8000678811484487</v>
      </c>
      <c r="K127" s="37">
        <f t="shared" si="56"/>
        <v>0.78674176337696</v>
      </c>
      <c r="L127" s="38">
        <f>SUM(J117:J128)</f>
        <v>68.953807915390854</v>
      </c>
      <c r="M127" s="38">
        <f>SUM(K116:K127)</f>
        <v>10.232909515942197</v>
      </c>
      <c r="O127" s="16">
        <f t="shared" si="57"/>
        <v>5.8121513559005482</v>
      </c>
      <c r="P127" s="16">
        <f t="shared" si="58"/>
        <v>6.5988931192778111</v>
      </c>
    </row>
    <row r="128" spans="1:16" ht="22.5" hidden="1" customHeight="1">
      <c r="B128" s="24">
        <f t="shared" si="52"/>
        <v>2.0833333333333333E-3</v>
      </c>
      <c r="C128" s="24">
        <v>61</v>
      </c>
      <c r="D128" s="24"/>
      <c r="E128" s="24">
        <f t="shared" si="53"/>
        <v>60</v>
      </c>
      <c r="F128" s="32">
        <f t="shared" si="59"/>
        <v>371.82389506504001</v>
      </c>
      <c r="G128" s="24"/>
      <c r="H128" s="33">
        <f t="shared" si="55"/>
        <v>60.125000000000099</v>
      </c>
      <c r="I128" s="33">
        <f t="shared" si="51"/>
        <v>1.002083333333335</v>
      </c>
      <c r="J128" s="37">
        <f t="shared" si="60"/>
        <v>5.8121513559008511</v>
      </c>
      <c r="K128" s="31">
        <f t="shared" si="56"/>
        <v>0.77463311471883334</v>
      </c>
      <c r="L128" s="24"/>
      <c r="M128" s="24"/>
      <c r="O128" s="16">
        <f t="shared" si="57"/>
        <v>5.8242600045586741</v>
      </c>
      <c r="P128" s="16">
        <f t="shared" si="58"/>
        <v>6.5988931192778209</v>
      </c>
    </row>
    <row r="129" spans="1:16" ht="22.5" hidden="1" customHeight="1">
      <c r="B129" s="24">
        <f t="shared" si="52"/>
        <v>2.0833333333333333E-3</v>
      </c>
      <c r="C129" s="24">
        <v>62</v>
      </c>
      <c r="D129" s="24"/>
      <c r="E129" s="24">
        <f t="shared" si="53"/>
        <v>59</v>
      </c>
      <c r="F129" s="32">
        <f t="shared" si="59"/>
        <v>365.99963506048101</v>
      </c>
      <c r="G129" s="24"/>
      <c r="H129" s="33">
        <f t="shared" si="55"/>
        <v>59.122916666666768</v>
      </c>
      <c r="I129" s="33">
        <f t="shared" si="51"/>
        <v>1.002083333333335</v>
      </c>
      <c r="J129" s="31">
        <f t="shared" si="60"/>
        <v>5.8242600045589876</v>
      </c>
      <c r="K129" s="31">
        <f t="shared" si="56"/>
        <v>0.76249923970933542</v>
      </c>
      <c r="L129" s="24"/>
      <c r="M129" s="24"/>
      <c r="O129" s="16">
        <f t="shared" si="57"/>
        <v>5.8363938795681722</v>
      </c>
      <c r="P129" s="16">
        <f t="shared" si="58"/>
        <v>6.5988931192778306</v>
      </c>
    </row>
    <row r="130" spans="1:16" ht="22.5" hidden="1" customHeight="1">
      <c r="B130" s="24">
        <f t="shared" si="52"/>
        <v>2.0833333333333333E-3</v>
      </c>
      <c r="C130" s="24">
        <v>63</v>
      </c>
      <c r="D130" s="24"/>
      <c r="E130" s="24">
        <f t="shared" si="53"/>
        <v>58</v>
      </c>
      <c r="F130" s="32">
        <f t="shared" si="59"/>
        <v>360.16324118091251</v>
      </c>
      <c r="G130" s="24"/>
      <c r="H130" s="33">
        <f t="shared" si="55"/>
        <v>58.120833333333437</v>
      </c>
      <c r="I130" s="33">
        <f t="shared" si="51"/>
        <v>1.0020833333333352</v>
      </c>
      <c r="J130" s="31">
        <f t="shared" si="60"/>
        <v>5.8363938795684955</v>
      </c>
      <c r="K130" s="31">
        <f t="shared" si="56"/>
        <v>0.7503400857935677</v>
      </c>
      <c r="L130" s="24"/>
      <c r="M130" s="24"/>
      <c r="O130" s="16">
        <f t="shared" si="57"/>
        <v>5.8485530334839382</v>
      </c>
      <c r="P130" s="16">
        <f t="shared" si="58"/>
        <v>6.5988931192778413</v>
      </c>
    </row>
    <row r="131" spans="1:16" ht="22.5" hidden="1" customHeight="1">
      <c r="B131" s="24">
        <f t="shared" si="52"/>
        <v>2.0833333333333333E-3</v>
      </c>
      <c r="C131" s="24">
        <v>64</v>
      </c>
      <c r="D131" s="24"/>
      <c r="E131" s="24">
        <f t="shared" si="53"/>
        <v>57</v>
      </c>
      <c r="F131" s="32">
        <f t="shared" si="59"/>
        <v>354.31468814742823</v>
      </c>
      <c r="G131" s="24"/>
      <c r="H131" s="33">
        <f t="shared" si="55"/>
        <v>57.118750000000098</v>
      </c>
      <c r="I131" s="33">
        <f t="shared" si="51"/>
        <v>1.002083333333335</v>
      </c>
      <c r="J131" s="31">
        <f t="shared" si="60"/>
        <v>5.8485530334842739</v>
      </c>
      <c r="K131" s="31">
        <f t="shared" si="56"/>
        <v>0.73815560030714211</v>
      </c>
      <c r="L131" s="24"/>
      <c r="M131" s="24"/>
      <c r="O131" s="16">
        <f t="shared" si="57"/>
        <v>5.8607375189703639</v>
      </c>
      <c r="P131" s="16">
        <f t="shared" si="58"/>
        <v>6.5988931192778519</v>
      </c>
    </row>
    <row r="132" spans="1:16" ht="22.5" hidden="1" customHeight="1">
      <c r="B132" s="24">
        <f t="shared" si="52"/>
        <v>2.0833333333333333E-3</v>
      </c>
      <c r="C132" s="24">
        <v>65</v>
      </c>
      <c r="D132" s="24"/>
      <c r="E132" s="24">
        <f t="shared" si="53"/>
        <v>56</v>
      </c>
      <c r="F132" s="32">
        <f t="shared" si="59"/>
        <v>348.45395062845751</v>
      </c>
      <c r="G132" s="24"/>
      <c r="H132" s="33">
        <f t="shared" si="55"/>
        <v>56.11666666666676</v>
      </c>
      <c r="I132" s="33">
        <f t="shared" si="51"/>
        <v>1.002083333333335</v>
      </c>
      <c r="J132" s="31">
        <f t="shared" si="60"/>
        <v>5.8607375189707094</v>
      </c>
      <c r="K132" s="31">
        <f t="shared" ref="K132:K168" si="61">F132*B132</f>
        <v>0.72594573047595312</v>
      </c>
      <c r="L132" s="24"/>
      <c r="M132" s="24"/>
      <c r="O132" s="16">
        <f t="shared" ref="O132:O168" si="62">PPMT(B132,C132,$E$68,$F$68)*(-1)</f>
        <v>5.8729473888015518</v>
      </c>
      <c r="P132" s="16">
        <f t="shared" ref="P132:P168" si="63">J133+K132</f>
        <v>6.5988931192778608</v>
      </c>
    </row>
    <row r="133" spans="1:16" ht="22.5" hidden="1" customHeight="1">
      <c r="B133" s="24">
        <f t="shared" si="52"/>
        <v>2.0833333333333333E-3</v>
      </c>
      <c r="C133" s="24">
        <v>66</v>
      </c>
      <c r="D133" s="24"/>
      <c r="E133" s="24">
        <f t="shared" si="53"/>
        <v>55</v>
      </c>
      <c r="F133" s="32">
        <f t="shared" ref="F133:F168" si="64">F132-J133</f>
        <v>342.58100323965562</v>
      </c>
      <c r="G133" s="24"/>
      <c r="H133" s="33">
        <f t="shared" si="55"/>
        <v>55.114583333333428</v>
      </c>
      <c r="I133" s="33">
        <f t="shared" ref="I133:I168" si="65">H133/E133</f>
        <v>1.002083333333335</v>
      </c>
      <c r="J133" s="31">
        <f t="shared" si="60"/>
        <v>5.8729473888019079</v>
      </c>
      <c r="K133" s="31">
        <f t="shared" si="61"/>
        <v>0.71371042341594915</v>
      </c>
      <c r="L133" s="24"/>
      <c r="M133" s="24"/>
      <c r="O133" s="16">
        <f t="shared" si="62"/>
        <v>5.8851826958615554</v>
      </c>
      <c r="P133" s="16">
        <f t="shared" si="63"/>
        <v>6.5988931192778706</v>
      </c>
    </row>
    <row r="134" spans="1:16" ht="22.5" hidden="1" customHeight="1">
      <c r="B134" s="24">
        <f t="shared" ref="B134:B168" si="66">B133</f>
        <v>2.0833333333333333E-3</v>
      </c>
      <c r="C134" s="24">
        <v>67</v>
      </c>
      <c r="D134" s="24"/>
      <c r="E134" s="24">
        <f t="shared" ref="E134:E168" si="67">IF(E133-1&gt;0,E133-1,1)</f>
        <v>54</v>
      </c>
      <c r="F134" s="32">
        <f t="shared" si="64"/>
        <v>336.69582054379367</v>
      </c>
      <c r="G134" s="24"/>
      <c r="H134" s="33">
        <f t="shared" si="55"/>
        <v>54.112500000000097</v>
      </c>
      <c r="I134" s="33">
        <f t="shared" si="65"/>
        <v>1.0020833333333352</v>
      </c>
      <c r="J134" s="31">
        <f t="shared" ref="J134:J169" si="68">I133*J133</f>
        <v>5.8851826958619213</v>
      </c>
      <c r="K134" s="31">
        <f t="shared" si="61"/>
        <v>0.70144962613290351</v>
      </c>
      <c r="L134" s="24"/>
      <c r="M134" s="24"/>
      <c r="O134" s="16">
        <f t="shared" si="62"/>
        <v>5.8974434931445998</v>
      </c>
      <c r="P134" s="16">
        <f t="shared" si="63"/>
        <v>6.5988931192778821</v>
      </c>
    </row>
    <row r="135" spans="1:16" ht="22.5" hidden="1" customHeight="1">
      <c r="B135" s="24">
        <f t="shared" si="66"/>
        <v>2.0833333333333333E-3</v>
      </c>
      <c r="C135" s="24">
        <v>68</v>
      </c>
      <c r="D135" s="24"/>
      <c r="E135" s="24">
        <f t="shared" si="67"/>
        <v>53</v>
      </c>
      <c r="F135" s="32">
        <f t="shared" si="64"/>
        <v>330.7983770506487</v>
      </c>
      <c r="G135" s="24"/>
      <c r="H135" s="33">
        <f t="shared" si="55"/>
        <v>53.110416666666758</v>
      </c>
      <c r="I135" s="33">
        <f t="shared" si="65"/>
        <v>1.002083333333335</v>
      </c>
      <c r="J135" s="31">
        <f t="shared" si="68"/>
        <v>5.8974434931449782</v>
      </c>
      <c r="K135" s="31">
        <f t="shared" si="61"/>
        <v>0.68916328552218475</v>
      </c>
      <c r="L135" s="24"/>
      <c r="M135" s="24"/>
      <c r="O135" s="16">
        <f t="shared" si="62"/>
        <v>5.9097298337553177</v>
      </c>
      <c r="P135" s="16">
        <f t="shared" si="63"/>
        <v>6.598893119277891</v>
      </c>
    </row>
    <row r="136" spans="1:16" ht="22.5" hidden="1" customHeight="1">
      <c r="B136" s="24">
        <f t="shared" si="66"/>
        <v>2.0833333333333333E-3</v>
      </c>
      <c r="C136" s="24">
        <v>69</v>
      </c>
      <c r="D136" s="24"/>
      <c r="E136" s="24">
        <f t="shared" si="67"/>
        <v>52</v>
      </c>
      <c r="F136" s="32">
        <f t="shared" si="64"/>
        <v>324.88864721689299</v>
      </c>
      <c r="G136" s="24"/>
      <c r="H136" s="33">
        <f t="shared" si="55"/>
        <v>52.10833333333342</v>
      </c>
      <c r="I136" s="33">
        <f t="shared" si="65"/>
        <v>1.002083333333335</v>
      </c>
      <c r="J136" s="31">
        <f t="shared" si="68"/>
        <v>5.9097298337557067</v>
      </c>
      <c r="K136" s="31">
        <f t="shared" si="61"/>
        <v>0.67685134836852701</v>
      </c>
      <c r="L136" s="24"/>
      <c r="M136" s="24"/>
      <c r="O136" s="16">
        <f t="shared" si="62"/>
        <v>5.922041770908975</v>
      </c>
      <c r="P136" s="16">
        <f t="shared" si="63"/>
        <v>6.5988931192779017</v>
      </c>
    </row>
    <row r="137" spans="1:16" ht="22.5" hidden="1" customHeight="1">
      <c r="B137" s="24">
        <f t="shared" si="66"/>
        <v>2.0833333333333333E-3</v>
      </c>
      <c r="C137" s="24">
        <v>70</v>
      </c>
      <c r="D137" s="24"/>
      <c r="E137" s="24">
        <f t="shared" si="67"/>
        <v>51</v>
      </c>
      <c r="F137" s="32">
        <f t="shared" si="64"/>
        <v>318.96660544598359</v>
      </c>
      <c r="G137" s="24"/>
      <c r="H137" s="33">
        <f t="shared" si="55"/>
        <v>51.106250000000088</v>
      </c>
      <c r="I137" s="33">
        <f t="shared" si="65"/>
        <v>1.002083333333335</v>
      </c>
      <c r="J137" s="31">
        <f t="shared" si="68"/>
        <v>5.9220417709093747</v>
      </c>
      <c r="K137" s="31">
        <f t="shared" si="61"/>
        <v>0.66451376134579909</v>
      </c>
      <c r="L137" s="24"/>
      <c r="M137" s="24"/>
      <c r="O137" s="16">
        <f t="shared" si="62"/>
        <v>5.9343793579317019</v>
      </c>
      <c r="P137" s="16">
        <f t="shared" si="63"/>
        <v>6.5988931192779114</v>
      </c>
    </row>
    <row r="138" spans="1:16" ht="22.5" hidden="1" customHeight="1">
      <c r="B138" s="24">
        <f t="shared" si="66"/>
        <v>2.0833333333333333E-3</v>
      </c>
      <c r="C138" s="24">
        <v>71</v>
      </c>
      <c r="D138" s="24"/>
      <c r="E138" s="24">
        <f t="shared" si="67"/>
        <v>50</v>
      </c>
      <c r="F138" s="32">
        <f t="shared" si="64"/>
        <v>313.03222608805146</v>
      </c>
      <c r="G138" s="24"/>
      <c r="H138" s="33">
        <f t="shared" si="55"/>
        <v>50.104166666666757</v>
      </c>
      <c r="I138" s="33">
        <f t="shared" si="65"/>
        <v>1.0020833333333352</v>
      </c>
      <c r="J138" s="31">
        <f t="shared" si="68"/>
        <v>5.9343793579321122</v>
      </c>
      <c r="K138" s="31">
        <f t="shared" si="61"/>
        <v>0.65215047101677381</v>
      </c>
      <c r="L138" s="24"/>
      <c r="M138" s="24"/>
      <c r="O138" s="16">
        <f t="shared" si="62"/>
        <v>5.9467426482607264</v>
      </c>
      <c r="P138" s="16">
        <f t="shared" si="63"/>
        <v>6.5988931192779221</v>
      </c>
    </row>
    <row r="139" spans="1:16" ht="22.5" hidden="1" customHeight="1">
      <c r="A139" s="14">
        <v>6</v>
      </c>
      <c r="B139" s="34">
        <f t="shared" si="66"/>
        <v>2.0833333333333333E-3</v>
      </c>
      <c r="C139" s="34">
        <v>72</v>
      </c>
      <c r="D139" s="34"/>
      <c r="E139" s="34">
        <f t="shared" si="67"/>
        <v>49</v>
      </c>
      <c r="F139" s="35">
        <f t="shared" si="64"/>
        <v>307.08548343979032</v>
      </c>
      <c r="G139" s="34"/>
      <c r="H139" s="36">
        <f t="shared" ref="H139:H168" si="69">H138-I138</f>
        <v>49.102083333333418</v>
      </c>
      <c r="I139" s="36">
        <f t="shared" si="65"/>
        <v>1.002083333333335</v>
      </c>
      <c r="J139" s="31">
        <f t="shared" si="68"/>
        <v>5.9467426482611483</v>
      </c>
      <c r="K139" s="37">
        <f t="shared" si="61"/>
        <v>0.63976142383289647</v>
      </c>
      <c r="L139" s="38">
        <f>SUM(J129:J140)</f>
        <v>70.697543320694649</v>
      </c>
      <c r="M139" s="38">
        <f>SUM(K128:K139)</f>
        <v>8.4891741106398655</v>
      </c>
      <c r="O139" s="16">
        <f t="shared" si="62"/>
        <v>5.9591316954446025</v>
      </c>
      <c r="P139" s="16">
        <f t="shared" si="63"/>
        <v>6.5988931192779328</v>
      </c>
    </row>
    <row r="140" spans="1:16" ht="22.5" hidden="1" customHeight="1">
      <c r="B140" s="24">
        <f t="shared" si="66"/>
        <v>2.0833333333333333E-3</v>
      </c>
      <c r="C140" s="24">
        <v>73</v>
      </c>
      <c r="D140" s="24"/>
      <c r="E140" s="24">
        <f t="shared" si="67"/>
        <v>48</v>
      </c>
      <c r="F140" s="32">
        <f t="shared" si="64"/>
        <v>301.1263517443453</v>
      </c>
      <c r="G140" s="24"/>
      <c r="H140" s="33">
        <f t="shared" si="69"/>
        <v>48.10000000000008</v>
      </c>
      <c r="I140" s="33">
        <f t="shared" si="65"/>
        <v>1.002083333333335</v>
      </c>
      <c r="J140" s="37">
        <f t="shared" si="68"/>
        <v>5.959131695445036</v>
      </c>
      <c r="K140" s="31">
        <f t="shared" si="61"/>
        <v>0.62734656613405271</v>
      </c>
      <c r="L140" s="24"/>
      <c r="M140" s="24"/>
      <c r="O140" s="16">
        <f t="shared" si="62"/>
        <v>5.9715465531434457</v>
      </c>
      <c r="P140" s="16">
        <f t="shared" si="63"/>
        <v>6.5988931192779425</v>
      </c>
    </row>
    <row r="141" spans="1:16" ht="22.5" hidden="1" customHeight="1">
      <c r="B141" s="24">
        <f t="shared" si="66"/>
        <v>2.0833333333333333E-3</v>
      </c>
      <c r="C141" s="24">
        <v>74</v>
      </c>
      <c r="D141" s="24"/>
      <c r="E141" s="24">
        <f t="shared" si="67"/>
        <v>47</v>
      </c>
      <c r="F141" s="32">
        <f t="shared" si="64"/>
        <v>295.15480519120143</v>
      </c>
      <c r="G141" s="24"/>
      <c r="H141" s="33">
        <f t="shared" si="69"/>
        <v>47.097916666666748</v>
      </c>
      <c r="I141" s="33">
        <f t="shared" si="65"/>
        <v>1.002083333333335</v>
      </c>
      <c r="J141" s="31">
        <f t="shared" si="68"/>
        <v>5.9715465531438898</v>
      </c>
      <c r="K141" s="31">
        <f t="shared" si="61"/>
        <v>0.61490584414833627</v>
      </c>
      <c r="L141" s="24"/>
      <c r="M141" s="24"/>
      <c r="O141" s="16">
        <f t="shared" si="62"/>
        <v>5.9839872751291621</v>
      </c>
      <c r="P141" s="16">
        <f t="shared" si="63"/>
        <v>6.5988931192779523</v>
      </c>
    </row>
    <row r="142" spans="1:16" ht="22.5" hidden="1" customHeight="1">
      <c r="B142" s="24">
        <f t="shared" si="66"/>
        <v>2.0833333333333333E-3</v>
      </c>
      <c r="C142" s="24">
        <v>75</v>
      </c>
      <c r="D142" s="24"/>
      <c r="E142" s="24">
        <f t="shared" si="67"/>
        <v>46</v>
      </c>
      <c r="F142" s="32">
        <f t="shared" si="64"/>
        <v>289.17081791607183</v>
      </c>
      <c r="G142" s="24"/>
      <c r="H142" s="33">
        <f t="shared" si="69"/>
        <v>46.095833333333417</v>
      </c>
      <c r="I142" s="33">
        <f t="shared" si="65"/>
        <v>1.0020833333333352</v>
      </c>
      <c r="J142" s="31">
        <f t="shared" si="68"/>
        <v>5.9839872751296159</v>
      </c>
      <c r="K142" s="31">
        <f t="shared" si="61"/>
        <v>0.60243920399181627</v>
      </c>
      <c r="L142" s="24"/>
      <c r="M142" s="24"/>
      <c r="O142" s="16">
        <f t="shared" si="62"/>
        <v>5.9964539152856808</v>
      </c>
      <c r="P142" s="16">
        <f t="shared" si="63"/>
        <v>6.5988931192779638</v>
      </c>
    </row>
    <row r="143" spans="1:16" ht="22.5" hidden="1" customHeight="1">
      <c r="B143" s="24">
        <f t="shared" si="66"/>
        <v>2.0833333333333333E-3</v>
      </c>
      <c r="C143" s="24">
        <v>76</v>
      </c>
      <c r="D143" s="24"/>
      <c r="E143" s="24">
        <f t="shared" si="67"/>
        <v>45</v>
      </c>
      <c r="F143" s="32">
        <f t="shared" si="64"/>
        <v>283.17436400078566</v>
      </c>
      <c r="G143" s="24"/>
      <c r="H143" s="33">
        <f t="shared" si="69"/>
        <v>45.093750000000078</v>
      </c>
      <c r="I143" s="33">
        <f t="shared" si="65"/>
        <v>1.002083333333335</v>
      </c>
      <c r="J143" s="31">
        <f t="shared" si="68"/>
        <v>5.9964539152861471</v>
      </c>
      <c r="K143" s="31">
        <f t="shared" si="61"/>
        <v>0.58994659166830343</v>
      </c>
      <c r="L143" s="24"/>
      <c r="M143" s="24"/>
      <c r="O143" s="16">
        <f t="shared" si="62"/>
        <v>6.0089465276091927</v>
      </c>
      <c r="P143" s="16">
        <f t="shared" si="63"/>
        <v>6.5988931192779727</v>
      </c>
    </row>
    <row r="144" spans="1:16" ht="22.5" hidden="1" customHeight="1">
      <c r="B144" s="24">
        <f t="shared" si="66"/>
        <v>2.0833333333333333E-3</v>
      </c>
      <c r="C144" s="24">
        <v>77</v>
      </c>
      <c r="D144" s="24"/>
      <c r="E144" s="24">
        <f t="shared" si="67"/>
        <v>44</v>
      </c>
      <c r="F144" s="32">
        <f t="shared" si="64"/>
        <v>277.16541747317598</v>
      </c>
      <c r="G144" s="24"/>
      <c r="H144" s="33">
        <f t="shared" si="69"/>
        <v>44.09166666666674</v>
      </c>
      <c r="I144" s="33">
        <f t="shared" si="65"/>
        <v>1.002083333333335</v>
      </c>
      <c r="J144" s="31">
        <f t="shared" si="68"/>
        <v>6.0089465276096696</v>
      </c>
      <c r="K144" s="31">
        <f t="shared" si="61"/>
        <v>0.57742795306911665</v>
      </c>
      <c r="L144" s="24"/>
      <c r="M144" s="24"/>
      <c r="O144" s="16">
        <f t="shared" si="62"/>
        <v>6.0214651662083778</v>
      </c>
      <c r="P144" s="16">
        <f t="shared" si="63"/>
        <v>6.5988931192779834</v>
      </c>
    </row>
    <row r="145" spans="1:16" ht="22.5" hidden="1" customHeight="1">
      <c r="B145" s="24">
        <f t="shared" si="66"/>
        <v>2.0833333333333333E-3</v>
      </c>
      <c r="C145" s="24">
        <v>78</v>
      </c>
      <c r="D145" s="24"/>
      <c r="E145" s="24">
        <f t="shared" si="67"/>
        <v>43</v>
      </c>
      <c r="F145" s="32">
        <f t="shared" si="64"/>
        <v>271.14395230696709</v>
      </c>
      <c r="G145" s="24"/>
      <c r="H145" s="33">
        <f t="shared" si="69"/>
        <v>43.089583333333408</v>
      </c>
      <c r="I145" s="33">
        <f t="shared" si="65"/>
        <v>1.002083333333335</v>
      </c>
      <c r="J145" s="31">
        <f t="shared" si="68"/>
        <v>6.0214651662088663</v>
      </c>
      <c r="K145" s="31">
        <f t="shared" si="61"/>
        <v>0.56488323397284812</v>
      </c>
      <c r="L145" s="24"/>
      <c r="M145" s="24"/>
      <c r="O145" s="16">
        <f t="shared" si="62"/>
        <v>6.0340098853046458</v>
      </c>
      <c r="P145" s="16">
        <f t="shared" si="63"/>
        <v>6.5988931192779932</v>
      </c>
    </row>
    <row r="146" spans="1:16" ht="22.5" hidden="1" customHeight="1">
      <c r="B146" s="24">
        <f t="shared" si="66"/>
        <v>2.0833333333333333E-3</v>
      </c>
      <c r="C146" s="24">
        <v>79</v>
      </c>
      <c r="D146" s="24"/>
      <c r="E146" s="24">
        <f t="shared" si="67"/>
        <v>42</v>
      </c>
      <c r="F146" s="32">
        <f t="shared" si="64"/>
        <v>265.10994242166197</v>
      </c>
      <c r="G146" s="24"/>
      <c r="H146" s="33">
        <f t="shared" si="69"/>
        <v>42.087500000000077</v>
      </c>
      <c r="I146" s="33">
        <f t="shared" si="65"/>
        <v>1.0020833333333352</v>
      </c>
      <c r="J146" s="31">
        <f t="shared" si="68"/>
        <v>6.0340098853051449</v>
      </c>
      <c r="K146" s="31">
        <f t="shared" si="61"/>
        <v>0.55231238004512906</v>
      </c>
      <c r="L146" s="24"/>
      <c r="M146" s="24"/>
      <c r="O146" s="16">
        <f t="shared" si="62"/>
        <v>6.0465807392323638</v>
      </c>
      <c r="P146" s="16">
        <f t="shared" si="63"/>
        <v>6.5988931192780047</v>
      </c>
    </row>
    <row r="147" spans="1:16" ht="22.5" hidden="1" customHeight="1">
      <c r="B147" s="24">
        <f t="shared" si="66"/>
        <v>2.0833333333333333E-3</v>
      </c>
      <c r="C147" s="24">
        <v>80</v>
      </c>
      <c r="D147" s="24"/>
      <c r="E147" s="24">
        <f t="shared" si="67"/>
        <v>41</v>
      </c>
      <c r="F147" s="32">
        <f t="shared" si="64"/>
        <v>259.0633616824291</v>
      </c>
      <c r="G147" s="24"/>
      <c r="H147" s="33">
        <f t="shared" si="69"/>
        <v>41.085416666666738</v>
      </c>
      <c r="I147" s="33">
        <f t="shared" si="65"/>
        <v>1.002083333333335</v>
      </c>
      <c r="J147" s="31">
        <f t="shared" si="68"/>
        <v>6.0465807392328754</v>
      </c>
      <c r="K147" s="31">
        <f t="shared" si="61"/>
        <v>0.53971533683839401</v>
      </c>
      <c r="L147" s="24"/>
      <c r="M147" s="24"/>
      <c r="O147" s="16">
        <f t="shared" si="62"/>
        <v>6.0591777824390975</v>
      </c>
      <c r="P147" s="16">
        <f t="shared" si="63"/>
        <v>6.5988931192780145</v>
      </c>
    </row>
    <row r="148" spans="1:16" ht="22.5" hidden="1" customHeight="1">
      <c r="B148" s="24">
        <f t="shared" si="66"/>
        <v>2.0833333333333333E-3</v>
      </c>
      <c r="C148" s="24">
        <v>81</v>
      </c>
      <c r="D148" s="24"/>
      <c r="E148" s="24">
        <f t="shared" si="67"/>
        <v>40</v>
      </c>
      <c r="F148" s="32">
        <f t="shared" si="64"/>
        <v>253.00418389998947</v>
      </c>
      <c r="G148" s="24"/>
      <c r="H148" s="33">
        <f t="shared" si="69"/>
        <v>40.0833333333334</v>
      </c>
      <c r="I148" s="33">
        <f t="shared" si="65"/>
        <v>1.002083333333335</v>
      </c>
      <c r="J148" s="31">
        <f t="shared" si="68"/>
        <v>6.0591777824396207</v>
      </c>
      <c r="K148" s="31">
        <f t="shared" si="61"/>
        <v>0.5270920497916447</v>
      </c>
      <c r="L148" s="24"/>
      <c r="M148" s="24"/>
      <c r="O148" s="16">
        <f t="shared" si="62"/>
        <v>6.0718010694858453</v>
      </c>
      <c r="P148" s="16">
        <f t="shared" si="63"/>
        <v>6.5988931192780242</v>
      </c>
    </row>
    <row r="149" spans="1:16" ht="22.5" hidden="1" customHeight="1">
      <c r="B149" s="24">
        <f t="shared" si="66"/>
        <v>2.0833333333333333E-3</v>
      </c>
      <c r="C149" s="24">
        <v>82</v>
      </c>
      <c r="D149" s="24"/>
      <c r="E149" s="24">
        <f t="shared" si="67"/>
        <v>39</v>
      </c>
      <c r="F149" s="32">
        <f t="shared" si="64"/>
        <v>246.93238283050309</v>
      </c>
      <c r="G149" s="24"/>
      <c r="H149" s="33">
        <f t="shared" si="69"/>
        <v>39.081250000000068</v>
      </c>
      <c r="I149" s="33">
        <f t="shared" si="65"/>
        <v>1.002083333333335</v>
      </c>
      <c r="J149" s="31">
        <f t="shared" si="68"/>
        <v>6.07180106948638</v>
      </c>
      <c r="K149" s="31">
        <f t="shared" si="61"/>
        <v>0.51444246423021478</v>
      </c>
      <c r="L149" s="24"/>
      <c r="M149" s="24"/>
      <c r="O149" s="16">
        <f t="shared" si="62"/>
        <v>6.0844506550472746</v>
      </c>
      <c r="P149" s="16">
        <f t="shared" si="63"/>
        <v>6.5988931192780349</v>
      </c>
    </row>
    <row r="150" spans="1:16" ht="22.5" hidden="1" customHeight="1">
      <c r="B150" s="24">
        <f t="shared" si="66"/>
        <v>2.0833333333333333E-3</v>
      </c>
      <c r="C150" s="24">
        <v>83</v>
      </c>
      <c r="D150" s="24"/>
      <c r="E150" s="24">
        <f t="shared" si="67"/>
        <v>38</v>
      </c>
      <c r="F150" s="32">
        <f t="shared" si="64"/>
        <v>240.84793217545527</v>
      </c>
      <c r="G150" s="24"/>
      <c r="H150" s="33">
        <f t="shared" si="69"/>
        <v>38.079166666666737</v>
      </c>
      <c r="I150" s="33">
        <f t="shared" si="65"/>
        <v>1.0020833333333352</v>
      </c>
      <c r="J150" s="31">
        <f t="shared" si="68"/>
        <v>6.0844506550478199</v>
      </c>
      <c r="K150" s="31">
        <f t="shared" si="61"/>
        <v>0.50176652536553179</v>
      </c>
      <c r="L150" s="24"/>
      <c r="M150" s="24"/>
      <c r="O150" s="16">
        <f t="shared" si="62"/>
        <v>6.0971265939119554</v>
      </c>
      <c r="P150" s="16">
        <f t="shared" si="63"/>
        <v>6.5988931192780456</v>
      </c>
    </row>
    <row r="151" spans="1:16" ht="22.5" hidden="1" customHeight="1">
      <c r="A151" s="14">
        <v>7</v>
      </c>
      <c r="B151" s="34">
        <f t="shared" si="66"/>
        <v>2.0833333333333333E-3</v>
      </c>
      <c r="C151" s="34">
        <v>84</v>
      </c>
      <c r="D151" s="34"/>
      <c r="E151" s="34">
        <f t="shared" si="67"/>
        <v>37</v>
      </c>
      <c r="F151" s="35">
        <f t="shared" si="64"/>
        <v>234.75080558154275</v>
      </c>
      <c r="G151" s="34"/>
      <c r="H151" s="36">
        <f t="shared" si="69"/>
        <v>37.077083333333398</v>
      </c>
      <c r="I151" s="36">
        <f t="shared" si="65"/>
        <v>1.002083333333335</v>
      </c>
      <c r="J151" s="31">
        <f t="shared" si="68"/>
        <v>6.0971265939125141</v>
      </c>
      <c r="K151" s="37">
        <f t="shared" si="61"/>
        <v>0.48906417829488075</v>
      </c>
      <c r="L151" s="38">
        <f>SUM(J141:J152)</f>
        <v>72.485375103785714</v>
      </c>
      <c r="M151" s="38">
        <f>SUM(K140:K151)</f>
        <v>6.701342327550269</v>
      </c>
      <c r="O151" s="16">
        <f t="shared" si="62"/>
        <v>6.1098289409826068</v>
      </c>
      <c r="P151" s="16">
        <f t="shared" si="63"/>
        <v>6.5988931192780562</v>
      </c>
    </row>
    <row r="152" spans="1:16" ht="22.5" hidden="1" customHeight="1">
      <c r="B152" s="24">
        <f t="shared" si="66"/>
        <v>2.0833333333333333E-3</v>
      </c>
      <c r="C152" s="24">
        <v>85</v>
      </c>
      <c r="D152" s="24"/>
      <c r="E152" s="24">
        <f t="shared" si="67"/>
        <v>36</v>
      </c>
      <c r="F152" s="32">
        <f t="shared" si="64"/>
        <v>228.64097664055959</v>
      </c>
      <c r="G152" s="24"/>
      <c r="H152" s="33">
        <f t="shared" si="69"/>
        <v>36.07500000000006</v>
      </c>
      <c r="I152" s="33">
        <f t="shared" si="65"/>
        <v>1.002083333333335</v>
      </c>
      <c r="J152" s="37">
        <f t="shared" si="68"/>
        <v>6.1098289409831752</v>
      </c>
      <c r="K152" s="31">
        <f t="shared" si="61"/>
        <v>0.47633536800116577</v>
      </c>
      <c r="L152" s="24"/>
      <c r="M152" s="24"/>
      <c r="O152" s="16">
        <f t="shared" si="62"/>
        <v>6.1225577512763198</v>
      </c>
      <c r="P152" s="16">
        <f t="shared" si="63"/>
        <v>6.598893119278066</v>
      </c>
    </row>
    <row r="153" spans="1:16" ht="22.5" hidden="1" customHeight="1">
      <c r="B153" s="24">
        <f t="shared" si="66"/>
        <v>2.0833333333333333E-3</v>
      </c>
      <c r="C153" s="24">
        <v>86</v>
      </c>
      <c r="D153" s="24"/>
      <c r="E153" s="24">
        <f t="shared" si="67"/>
        <v>35</v>
      </c>
      <c r="F153" s="32">
        <f t="shared" si="64"/>
        <v>222.51841888928269</v>
      </c>
      <c r="G153" s="24"/>
      <c r="H153" s="33">
        <f t="shared" si="69"/>
        <v>35.072916666666728</v>
      </c>
      <c r="I153" s="33">
        <f t="shared" si="65"/>
        <v>1.002083333333335</v>
      </c>
      <c r="J153" s="31">
        <f t="shared" si="68"/>
        <v>6.1225577512768998</v>
      </c>
      <c r="K153" s="31">
        <f t="shared" si="61"/>
        <v>0.46358003935267228</v>
      </c>
      <c r="L153" s="24"/>
      <c r="M153" s="24"/>
      <c r="O153" s="16">
        <f t="shared" si="62"/>
        <v>6.1353130799248126</v>
      </c>
      <c r="P153" s="16">
        <f t="shared" si="63"/>
        <v>6.5988931192780758</v>
      </c>
    </row>
    <row r="154" spans="1:16" ht="22.5" hidden="1" customHeight="1">
      <c r="B154" s="24">
        <f t="shared" si="66"/>
        <v>2.0833333333333333E-3</v>
      </c>
      <c r="C154" s="24">
        <v>87</v>
      </c>
      <c r="D154" s="24"/>
      <c r="E154" s="24">
        <f t="shared" si="67"/>
        <v>34</v>
      </c>
      <c r="F154" s="32">
        <f t="shared" si="64"/>
        <v>216.38310580935729</v>
      </c>
      <c r="G154" s="24"/>
      <c r="H154" s="33">
        <f t="shared" si="69"/>
        <v>34.070833333333397</v>
      </c>
      <c r="I154" s="33">
        <f t="shared" si="65"/>
        <v>1.0020833333333352</v>
      </c>
      <c r="J154" s="31">
        <f t="shared" si="68"/>
        <v>6.1353130799254032</v>
      </c>
      <c r="K154" s="31">
        <f t="shared" si="61"/>
        <v>0.45079813710282768</v>
      </c>
      <c r="L154" s="24"/>
      <c r="M154" s="24"/>
      <c r="O154" s="16">
        <f t="shared" si="62"/>
        <v>6.1480949821746558</v>
      </c>
      <c r="P154" s="16">
        <f t="shared" si="63"/>
        <v>6.5988931192780873</v>
      </c>
    </row>
    <row r="155" spans="1:16" ht="22.5" hidden="1" customHeight="1">
      <c r="B155" s="24">
        <f t="shared" si="66"/>
        <v>2.0833333333333333E-3</v>
      </c>
      <c r="C155" s="24">
        <v>88</v>
      </c>
      <c r="D155" s="24"/>
      <c r="E155" s="24">
        <f t="shared" si="67"/>
        <v>33</v>
      </c>
      <c r="F155" s="32">
        <f t="shared" si="64"/>
        <v>210.23501082718204</v>
      </c>
      <c r="G155" s="24"/>
      <c r="H155" s="33">
        <f t="shared" si="69"/>
        <v>33.068750000000058</v>
      </c>
      <c r="I155" s="33">
        <f t="shared" si="65"/>
        <v>1.002083333333335</v>
      </c>
      <c r="J155" s="31">
        <f t="shared" si="68"/>
        <v>6.1480949821752597</v>
      </c>
      <c r="K155" s="31">
        <f t="shared" si="61"/>
        <v>0.43798960588996255</v>
      </c>
      <c r="L155" s="24"/>
      <c r="M155" s="24"/>
      <c r="O155" s="16">
        <f t="shared" si="62"/>
        <v>6.1609035133875194</v>
      </c>
      <c r="P155" s="16">
        <f t="shared" si="63"/>
        <v>6.5988931192780971</v>
      </c>
    </row>
    <row r="156" spans="1:16" ht="22.5" hidden="1" customHeight="1">
      <c r="B156" s="24">
        <f t="shared" si="66"/>
        <v>2.0833333333333333E-3</v>
      </c>
      <c r="C156" s="24">
        <v>89</v>
      </c>
      <c r="D156" s="24"/>
      <c r="E156" s="24">
        <f t="shared" si="67"/>
        <v>32</v>
      </c>
      <c r="F156" s="32">
        <f t="shared" si="64"/>
        <v>204.07410731379389</v>
      </c>
      <c r="G156" s="24"/>
      <c r="H156" s="33">
        <f t="shared" si="69"/>
        <v>32.06666666666672</v>
      </c>
      <c r="I156" s="33">
        <f t="shared" si="65"/>
        <v>1.002083333333335</v>
      </c>
      <c r="J156" s="31">
        <f t="shared" si="68"/>
        <v>6.1609035133881349</v>
      </c>
      <c r="K156" s="31">
        <f t="shared" si="61"/>
        <v>0.42515439023707058</v>
      </c>
      <c r="L156" s="24"/>
      <c r="M156" s="24"/>
      <c r="O156" s="16">
        <f t="shared" si="62"/>
        <v>6.1737387290404095</v>
      </c>
      <c r="P156" s="16">
        <f t="shared" si="63"/>
        <v>6.5988931192781077</v>
      </c>
    </row>
    <row r="157" spans="1:16" ht="22.5" hidden="1" customHeight="1">
      <c r="B157" s="24">
        <f t="shared" si="66"/>
        <v>2.0833333333333333E-3</v>
      </c>
      <c r="C157" s="24">
        <v>90</v>
      </c>
      <c r="D157" s="24"/>
      <c r="E157" s="24">
        <f t="shared" si="67"/>
        <v>31</v>
      </c>
      <c r="F157" s="32">
        <f t="shared" si="64"/>
        <v>197.90036858475284</v>
      </c>
      <c r="G157" s="24"/>
      <c r="H157" s="33">
        <f t="shared" si="69"/>
        <v>31.064583333333385</v>
      </c>
      <c r="I157" s="33">
        <f t="shared" si="65"/>
        <v>1.002083333333335</v>
      </c>
      <c r="J157" s="31">
        <f t="shared" si="68"/>
        <v>6.1737387290410375</v>
      </c>
      <c r="K157" s="31">
        <f t="shared" si="61"/>
        <v>0.41229243455156839</v>
      </c>
      <c r="L157" s="24"/>
      <c r="M157" s="24"/>
      <c r="O157" s="16">
        <f t="shared" si="62"/>
        <v>6.1866006847259118</v>
      </c>
      <c r="P157" s="16">
        <f t="shared" si="63"/>
        <v>6.5988931192781184</v>
      </c>
    </row>
    <row r="158" spans="1:16" ht="22.5" hidden="1" customHeight="1">
      <c r="B158" s="24">
        <f t="shared" si="66"/>
        <v>2.0833333333333333E-3</v>
      </c>
      <c r="C158" s="24">
        <v>91</v>
      </c>
      <c r="D158" s="24"/>
      <c r="E158" s="24">
        <f t="shared" si="67"/>
        <v>30</v>
      </c>
      <c r="F158" s="32">
        <f t="shared" si="64"/>
        <v>191.71376790002628</v>
      </c>
      <c r="G158" s="24"/>
      <c r="H158" s="33">
        <f t="shared" si="69"/>
        <v>30.06250000000005</v>
      </c>
      <c r="I158" s="33">
        <f t="shared" si="65"/>
        <v>1.002083333333335</v>
      </c>
      <c r="J158" s="31">
        <f t="shared" si="68"/>
        <v>6.1866006847265496</v>
      </c>
      <c r="K158" s="31">
        <f t="shared" si="61"/>
        <v>0.39940368312505475</v>
      </c>
      <c r="L158" s="24"/>
      <c r="M158" s="24"/>
      <c r="O158" s="16">
        <f t="shared" si="62"/>
        <v>6.1994894361524233</v>
      </c>
      <c r="P158" s="16">
        <f t="shared" si="63"/>
        <v>6.5988931192781282</v>
      </c>
    </row>
    <row r="159" spans="1:16" ht="22.5" hidden="1" customHeight="1">
      <c r="B159" s="24">
        <f t="shared" si="66"/>
        <v>2.0833333333333333E-3</v>
      </c>
      <c r="C159" s="24">
        <v>92</v>
      </c>
      <c r="D159" s="24"/>
      <c r="E159" s="24">
        <f t="shared" si="67"/>
        <v>29</v>
      </c>
      <c r="F159" s="32">
        <f t="shared" si="64"/>
        <v>185.51427846387321</v>
      </c>
      <c r="G159" s="24"/>
      <c r="H159" s="33">
        <f t="shared" si="69"/>
        <v>29.060416666666715</v>
      </c>
      <c r="I159" s="33">
        <f t="shared" si="65"/>
        <v>1.002083333333335</v>
      </c>
      <c r="J159" s="31">
        <f t="shared" si="68"/>
        <v>6.1994894361530735</v>
      </c>
      <c r="K159" s="31">
        <f t="shared" si="61"/>
        <v>0.38648808013306918</v>
      </c>
      <c r="L159" s="24"/>
      <c r="M159" s="24"/>
      <c r="O159" s="16">
        <f t="shared" si="62"/>
        <v>6.2124050391444072</v>
      </c>
      <c r="P159" s="16">
        <f t="shared" si="63"/>
        <v>6.5988931192781379</v>
      </c>
    </row>
    <row r="160" spans="1:16" ht="22.5" hidden="1" customHeight="1">
      <c r="B160" s="24">
        <f t="shared" si="66"/>
        <v>2.0833333333333333E-3</v>
      </c>
      <c r="C160" s="24">
        <v>93</v>
      </c>
      <c r="D160" s="24"/>
      <c r="E160" s="24">
        <f t="shared" si="67"/>
        <v>28</v>
      </c>
      <c r="F160" s="32">
        <f t="shared" si="64"/>
        <v>179.30187342472814</v>
      </c>
      <c r="G160" s="24"/>
      <c r="H160" s="33">
        <f t="shared" si="69"/>
        <v>28.05833333333338</v>
      </c>
      <c r="I160" s="33">
        <f t="shared" si="65"/>
        <v>1.002083333333335</v>
      </c>
      <c r="J160" s="31">
        <f t="shared" si="68"/>
        <v>6.2124050391450689</v>
      </c>
      <c r="K160" s="31">
        <f t="shared" si="61"/>
        <v>0.37354556963485031</v>
      </c>
      <c r="L160" s="24"/>
      <c r="M160" s="24"/>
      <c r="O160" s="16">
        <f t="shared" si="62"/>
        <v>6.2253475496426249</v>
      </c>
      <c r="P160" s="16">
        <f t="shared" si="63"/>
        <v>6.5988931192781486</v>
      </c>
    </row>
    <row r="161" spans="1:16" ht="22.5" hidden="1" customHeight="1">
      <c r="B161" s="24">
        <f t="shared" si="66"/>
        <v>2.0833333333333333E-3</v>
      </c>
      <c r="C161" s="24">
        <v>94</v>
      </c>
      <c r="D161" s="24"/>
      <c r="E161" s="24">
        <f t="shared" si="67"/>
        <v>27</v>
      </c>
      <c r="F161" s="32">
        <f t="shared" si="64"/>
        <v>173.07652587508485</v>
      </c>
      <c r="G161" s="24"/>
      <c r="H161" s="33">
        <f t="shared" si="69"/>
        <v>27.056250000000045</v>
      </c>
      <c r="I161" s="33">
        <f t="shared" si="65"/>
        <v>1.002083333333335</v>
      </c>
      <c r="J161" s="31">
        <f t="shared" si="68"/>
        <v>6.2253475496432982</v>
      </c>
      <c r="K161" s="31">
        <f t="shared" si="61"/>
        <v>0.36057609557309345</v>
      </c>
      <c r="L161" s="24"/>
      <c r="M161" s="24"/>
      <c r="O161" s="16">
        <f t="shared" si="62"/>
        <v>6.238317023704381</v>
      </c>
      <c r="P161" s="16">
        <f t="shared" si="63"/>
        <v>6.5988931192781592</v>
      </c>
    </row>
    <row r="162" spans="1:16" ht="22.5" hidden="1" customHeight="1">
      <c r="B162" s="24">
        <f t="shared" si="66"/>
        <v>2.0833333333333333E-3</v>
      </c>
      <c r="C162" s="24">
        <v>95</v>
      </c>
      <c r="D162" s="24"/>
      <c r="E162" s="24">
        <f t="shared" si="67"/>
        <v>26</v>
      </c>
      <c r="F162" s="32">
        <f t="shared" si="64"/>
        <v>166.83820885137979</v>
      </c>
      <c r="G162" s="24"/>
      <c r="H162" s="33">
        <f t="shared" si="69"/>
        <v>26.05416666666671</v>
      </c>
      <c r="I162" s="33">
        <f t="shared" si="65"/>
        <v>1.002083333333335</v>
      </c>
      <c r="J162" s="31">
        <f t="shared" si="68"/>
        <v>6.2383170237050658</v>
      </c>
      <c r="K162" s="31">
        <f t="shared" si="61"/>
        <v>0.34757960177370789</v>
      </c>
      <c r="L162" s="24"/>
      <c r="M162" s="24"/>
      <c r="O162" s="16">
        <f t="shared" si="62"/>
        <v>6.251313517503764</v>
      </c>
      <c r="P162" s="16">
        <f t="shared" si="63"/>
        <v>6.5988931192781699</v>
      </c>
    </row>
    <row r="163" spans="1:16" ht="22.5" hidden="1" customHeight="1">
      <c r="A163" s="14">
        <v>8</v>
      </c>
      <c r="B163" s="34">
        <f t="shared" si="66"/>
        <v>2.0833333333333333E-3</v>
      </c>
      <c r="C163" s="34">
        <v>96</v>
      </c>
      <c r="D163" s="34"/>
      <c r="E163" s="34">
        <f t="shared" si="67"/>
        <v>25</v>
      </c>
      <c r="F163" s="35">
        <f t="shared" si="64"/>
        <v>160.58689533387533</v>
      </c>
      <c r="G163" s="34"/>
      <c r="H163" s="36">
        <f t="shared" si="69"/>
        <v>25.052083333333375</v>
      </c>
      <c r="I163" s="36">
        <f t="shared" si="65"/>
        <v>1.002083333333335</v>
      </c>
      <c r="J163" s="31">
        <f t="shared" si="68"/>
        <v>6.2513135175044621</v>
      </c>
      <c r="K163" s="37">
        <f t="shared" si="61"/>
        <v>0.3345560319455736</v>
      </c>
      <c r="L163" s="38">
        <f>SUM(J153:J164)</f>
        <v>74.318418394016859</v>
      </c>
      <c r="M163" s="38">
        <f>SUM(K152:K163)</f>
        <v>4.8682990373206163</v>
      </c>
      <c r="O163" s="16">
        <f t="shared" si="62"/>
        <v>6.2643370873318975</v>
      </c>
      <c r="P163" s="16">
        <f t="shared" si="63"/>
        <v>6.5988931192781797</v>
      </c>
    </row>
    <row r="164" spans="1:16" ht="22.5" hidden="1" customHeight="1">
      <c r="B164" s="24">
        <f t="shared" si="66"/>
        <v>2.0833333333333333E-3</v>
      </c>
      <c r="C164" s="24">
        <v>97</v>
      </c>
      <c r="D164" s="24"/>
      <c r="E164" s="24">
        <f t="shared" si="67"/>
        <v>24</v>
      </c>
      <c r="F164" s="32">
        <f t="shared" si="64"/>
        <v>154.32255824654271</v>
      </c>
      <c r="G164" s="24"/>
      <c r="H164" s="33">
        <f t="shared" si="69"/>
        <v>24.05000000000004</v>
      </c>
      <c r="I164" s="33">
        <f t="shared" si="65"/>
        <v>1.002083333333335</v>
      </c>
      <c r="J164" s="37">
        <f t="shared" si="68"/>
        <v>6.2643370873326063</v>
      </c>
      <c r="K164" s="31">
        <f t="shared" si="61"/>
        <v>0.32150532968029732</v>
      </c>
      <c r="L164" s="24"/>
      <c r="M164" s="24"/>
      <c r="O164" s="16">
        <f t="shared" si="62"/>
        <v>6.2773877895971726</v>
      </c>
      <c r="P164" s="16">
        <f t="shared" si="63"/>
        <v>6.5988931192781903</v>
      </c>
    </row>
    <row r="165" spans="1:16" ht="22" hidden="1" customHeight="1">
      <c r="B165" s="24">
        <f t="shared" si="66"/>
        <v>2.0833333333333333E-3</v>
      </c>
      <c r="C165" s="24">
        <v>98</v>
      </c>
      <c r="D165" s="24"/>
      <c r="E165" s="24">
        <f t="shared" si="67"/>
        <v>23</v>
      </c>
      <c r="F165" s="32">
        <f t="shared" si="64"/>
        <v>148.04517045694482</v>
      </c>
      <c r="G165" s="24"/>
      <c r="H165" s="33">
        <f t="shared" si="69"/>
        <v>23.047916666666705</v>
      </c>
      <c r="I165" s="33">
        <f t="shared" si="65"/>
        <v>1.002083333333335</v>
      </c>
      <c r="J165" s="31">
        <f t="shared" si="68"/>
        <v>6.2773877895978929</v>
      </c>
      <c r="K165" s="31">
        <f t="shared" si="61"/>
        <v>0.30842743845196835</v>
      </c>
      <c r="L165" s="24"/>
      <c r="M165" s="24"/>
      <c r="O165" s="16">
        <f t="shared" si="62"/>
        <v>6.2904656808255002</v>
      </c>
      <c r="P165" s="16">
        <f t="shared" si="63"/>
        <v>6.5988931192782001</v>
      </c>
    </row>
    <row r="166" spans="1:16" ht="21" hidden="1" customHeight="1">
      <c r="B166" s="24">
        <f t="shared" si="66"/>
        <v>2.0833333333333333E-3</v>
      </c>
      <c r="C166" s="24">
        <v>99</v>
      </c>
      <c r="D166" s="24"/>
      <c r="E166" s="24">
        <f t="shared" si="67"/>
        <v>22</v>
      </c>
      <c r="F166" s="32">
        <f t="shared" si="64"/>
        <v>141.75470477611859</v>
      </c>
      <c r="G166" s="24"/>
      <c r="H166" s="33">
        <f t="shared" si="69"/>
        <v>22.04583333333337</v>
      </c>
      <c r="I166" s="33">
        <f t="shared" si="65"/>
        <v>1.002083333333335</v>
      </c>
      <c r="J166" s="31">
        <f t="shared" si="68"/>
        <v>6.290465680826232</v>
      </c>
      <c r="K166" s="31">
        <f t="shared" si="61"/>
        <v>0.2953223016169137</v>
      </c>
      <c r="L166" s="24"/>
      <c r="M166" s="24"/>
      <c r="O166" s="16">
        <f t="shared" si="62"/>
        <v>6.3035708176605532</v>
      </c>
      <c r="P166" s="16">
        <f t="shared" si="63"/>
        <v>6.5988931192782108</v>
      </c>
    </row>
    <row r="167" spans="1:16" hidden="1">
      <c r="B167" s="24">
        <f t="shared" si="66"/>
        <v>2.0833333333333333E-3</v>
      </c>
      <c r="C167" s="24">
        <v>100</v>
      </c>
      <c r="D167" s="24"/>
      <c r="E167" s="24">
        <f t="shared" si="67"/>
        <v>21</v>
      </c>
      <c r="F167" s="32">
        <f t="shared" si="64"/>
        <v>135.45113395845729</v>
      </c>
      <c r="G167" s="24"/>
      <c r="H167" s="33">
        <f t="shared" si="69"/>
        <v>21.043750000000035</v>
      </c>
      <c r="I167" s="33">
        <f t="shared" si="65"/>
        <v>1.002083333333335</v>
      </c>
      <c r="J167" s="31">
        <f t="shared" si="68"/>
        <v>6.3035708176612975</v>
      </c>
      <c r="K167" s="31">
        <f t="shared" si="61"/>
        <v>0.28218986241345267</v>
      </c>
      <c r="L167" s="24"/>
      <c r="M167" s="24"/>
      <c r="O167" s="16">
        <f t="shared" si="62"/>
        <v>6.3167032568640122</v>
      </c>
      <c r="P167" s="16">
        <f t="shared" si="63"/>
        <v>6.5988931192782214</v>
      </c>
    </row>
    <row r="168" spans="1:16" hidden="1">
      <c r="B168" s="24">
        <f t="shared" si="66"/>
        <v>2.0833333333333333E-3</v>
      </c>
      <c r="C168" s="24">
        <v>101</v>
      </c>
      <c r="D168" s="24"/>
      <c r="E168" s="24">
        <f t="shared" si="67"/>
        <v>20</v>
      </c>
      <c r="F168" s="32">
        <f t="shared" si="64"/>
        <v>129.13443070159252</v>
      </c>
      <c r="G168" s="24"/>
      <c r="H168" s="33">
        <f t="shared" si="69"/>
        <v>20.0416666666667</v>
      </c>
      <c r="I168" s="33">
        <f t="shared" si="65"/>
        <v>1.002083333333335</v>
      </c>
      <c r="J168" s="31">
        <f t="shared" si="68"/>
        <v>6.316703256864769</v>
      </c>
      <c r="K168" s="31">
        <f t="shared" si="61"/>
        <v>0.26903006396165108</v>
      </c>
      <c r="L168" s="24"/>
      <c r="M168" s="24"/>
      <c r="O168" s="16">
        <f t="shared" si="62"/>
        <v>6.3298630553158119</v>
      </c>
      <c r="P168" s="16">
        <f t="shared" si="63"/>
        <v>6.5988931192782321</v>
      </c>
    </row>
    <row r="169" spans="1:16" hidden="1">
      <c r="J169" s="31">
        <f t="shared" si="68"/>
        <v>6.3298630553165811</v>
      </c>
    </row>
    <row r="170" spans="1:16" hidden="1"/>
    <row r="171" spans="1:16" hidden="1"/>
    <row r="172" spans="1:16" hidden="1"/>
  </sheetData>
  <mergeCells count="11">
    <mergeCell ref="T14:AA16"/>
    <mergeCell ref="B2:I2"/>
    <mergeCell ref="K2:R2"/>
    <mergeCell ref="T2:AA2"/>
    <mergeCell ref="T10:AA11"/>
    <mergeCell ref="T12:AA13"/>
    <mergeCell ref="T29:AA30"/>
    <mergeCell ref="T20:AA23"/>
    <mergeCell ref="T17:AA19"/>
    <mergeCell ref="T31:AA32"/>
    <mergeCell ref="T33:AA34"/>
  </mergeCells>
  <phoneticPr fontId="2"/>
  <pageMargins left="0.7" right="0.7" top="0.75" bottom="0.75" header="0.3" footer="0.3"/>
  <pageSetup paperSize="9" scale="79" orientation="portrait" r:id="rId1"/>
  <rowBreaks count="1" manualBreakCount="1">
    <brk id="35" max="16383" man="1"/>
  </rowBreaks>
  <colBreaks count="1" manualBreakCount="1">
    <brk id="9" max="1048575" man="1"/>
  </colBreaks>
  <ignoredErrors>
    <ignoredError sqref="L8:R8 L10:R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谷澤 茂 ｓ.</dc:creator>
  <cp:lastModifiedBy>officeuser04</cp:lastModifiedBy>
  <cp:lastPrinted>2021-11-15T04:11:42Z</cp:lastPrinted>
  <dcterms:created xsi:type="dcterms:W3CDTF">2018-05-30T04:22:59Z</dcterms:created>
  <dcterms:modified xsi:type="dcterms:W3CDTF">2024-06-03T07:29:11Z</dcterms:modified>
</cp:coreProperties>
</file>