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mao062296-my.sharepoint.com/personal/officeuser08_hmao062296_onmicrosoft_com/Documents/JIM/コンテンツ/リポート/2.作成・更新中/B2410更新/4.テキスト化まで済_エクセル幅OK？/40004大塚_コスト削減（自分ごと）_2410/"/>
    </mc:Choice>
  </mc:AlternateContent>
  <xr:revisionPtr revIDLastSave="33" documentId="13_ncr:1_{3E7707B6-8B88-45C1-8A34-DDC091F63357}" xr6:coauthVersionLast="47" xr6:coauthVersionMax="47" xr10:uidLastSave="{822BE76D-8BD5-4D12-A56D-738D0FC6D7F8}"/>
  <bookViews>
    <workbookView xWindow="10620" yWindow="510" windowWidth="13575" windowHeight="14250" activeTab="1" xr2:uid="{BC4E7177-DCF7-4396-983E-E722684FD5B7}"/>
  </bookViews>
  <sheets>
    <sheet name="コスト削減計画表" sheetId="4" r:id="rId1"/>
    <sheet name="作成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4" l="1"/>
  <c r="L84" i="4"/>
  <c r="R82" i="4"/>
  <c r="P83" i="4"/>
  <c r="O83" i="4"/>
  <c r="L83" i="4"/>
  <c r="K83" i="4"/>
  <c r="J83" i="4"/>
  <c r="I83" i="4"/>
  <c r="F83" i="4"/>
  <c r="E83" i="4"/>
  <c r="R81" i="4"/>
  <c r="N83" i="4"/>
  <c r="M83" i="4"/>
  <c r="H83" i="4"/>
  <c r="G83" i="4"/>
  <c r="R79" i="4"/>
  <c r="P80" i="4"/>
  <c r="M80" i="4"/>
  <c r="L80" i="4"/>
  <c r="K80" i="4"/>
  <c r="J80" i="4"/>
  <c r="G80" i="4"/>
  <c r="F80" i="4"/>
  <c r="E80" i="4"/>
  <c r="R78" i="4"/>
  <c r="O80" i="4"/>
  <c r="N80" i="4"/>
  <c r="I80" i="4"/>
  <c r="H80" i="4"/>
  <c r="O77" i="4"/>
  <c r="R76" i="4"/>
  <c r="N77" i="4"/>
  <c r="M77" i="4"/>
  <c r="L77" i="4"/>
  <c r="K77" i="4"/>
  <c r="H77" i="4"/>
  <c r="G77" i="4"/>
  <c r="F77" i="4"/>
  <c r="R75" i="4"/>
  <c r="P77" i="4"/>
  <c r="J77" i="4"/>
  <c r="I77" i="4"/>
  <c r="P74" i="4"/>
  <c r="R73" i="4"/>
  <c r="O74" i="4"/>
  <c r="N74" i="4"/>
  <c r="M74" i="4"/>
  <c r="L74" i="4"/>
  <c r="I74" i="4"/>
  <c r="H74" i="4"/>
  <c r="G74" i="4"/>
  <c r="F74" i="4"/>
  <c r="Q73" i="4"/>
  <c r="S73" i="4" s="1"/>
  <c r="R72" i="4"/>
  <c r="K74" i="4"/>
  <c r="J74" i="4"/>
  <c r="Q72" i="4"/>
  <c r="S72" i="4" s="1"/>
  <c r="L71" i="4"/>
  <c r="F71" i="4"/>
  <c r="E71" i="4"/>
  <c r="R70" i="4"/>
  <c r="P71" i="4"/>
  <c r="O71" i="4"/>
  <c r="N71" i="4"/>
  <c r="M71" i="4"/>
  <c r="J71" i="4"/>
  <c r="I71" i="4"/>
  <c r="H71" i="4"/>
  <c r="G71" i="4"/>
  <c r="Q70" i="4"/>
  <c r="S70" i="4" s="1"/>
  <c r="R69" i="4"/>
  <c r="Q69" i="4"/>
  <c r="S69" i="4" s="1"/>
  <c r="P68" i="4"/>
  <c r="N68" i="4"/>
  <c r="K68" i="4"/>
  <c r="J68" i="4"/>
  <c r="H68" i="4"/>
  <c r="E68" i="4"/>
  <c r="O68" i="4"/>
  <c r="M68" i="4"/>
  <c r="L68" i="4"/>
  <c r="I68" i="4"/>
  <c r="G68" i="4"/>
  <c r="F68" i="4"/>
  <c r="S66" i="4"/>
  <c r="Q66" i="4"/>
  <c r="P65" i="4"/>
  <c r="O65" i="4"/>
  <c r="N65" i="4"/>
  <c r="L65" i="4"/>
  <c r="K65" i="4"/>
  <c r="J65" i="4"/>
  <c r="I65" i="4"/>
  <c r="H65" i="4"/>
  <c r="G65" i="4"/>
  <c r="F65" i="4"/>
  <c r="E65" i="4"/>
  <c r="Q64" i="4"/>
  <c r="S64" i="4" s="1"/>
  <c r="M65" i="4"/>
  <c r="M62" i="4"/>
  <c r="L62" i="4"/>
  <c r="G62" i="4"/>
  <c r="F62" i="4"/>
  <c r="R61" i="4"/>
  <c r="P62" i="4"/>
  <c r="O62" i="4"/>
  <c r="N62" i="4"/>
  <c r="K62" i="4"/>
  <c r="J62" i="4"/>
  <c r="I62" i="4"/>
  <c r="H62" i="4"/>
  <c r="E62" i="4"/>
  <c r="R60" i="4"/>
  <c r="Q60" i="4"/>
  <c r="S60" i="4" s="1"/>
  <c r="N59" i="4"/>
  <c r="H59" i="4"/>
  <c r="R58" i="4"/>
  <c r="P59" i="4"/>
  <c r="O59" i="4"/>
  <c r="L59" i="4"/>
  <c r="K59" i="4"/>
  <c r="J59" i="4"/>
  <c r="I59" i="4"/>
  <c r="F59" i="4"/>
  <c r="E59" i="4"/>
  <c r="R57" i="4"/>
  <c r="M59" i="4"/>
  <c r="G59" i="4"/>
  <c r="O56" i="4"/>
  <c r="N56" i="4"/>
  <c r="L56" i="4"/>
  <c r="K56" i="4"/>
  <c r="I56" i="4"/>
  <c r="H56" i="4"/>
  <c r="F56" i="4"/>
  <c r="E56" i="4"/>
  <c r="M56" i="4"/>
  <c r="G56" i="4"/>
  <c r="P56" i="4"/>
  <c r="N53" i="4"/>
  <c r="M53" i="4"/>
  <c r="G53" i="4"/>
  <c r="E53" i="4"/>
  <c r="P53" i="4"/>
  <c r="O53" i="4"/>
  <c r="L53" i="4"/>
  <c r="J53" i="4"/>
  <c r="I53" i="4"/>
  <c r="H53" i="4"/>
  <c r="R51" i="4"/>
  <c r="N50" i="4"/>
  <c r="K50" i="4"/>
  <c r="P50" i="4"/>
  <c r="H50" i="4"/>
  <c r="E50" i="4"/>
  <c r="M50" i="4"/>
  <c r="J50" i="4"/>
  <c r="G50" i="4"/>
  <c r="F50" i="4"/>
  <c r="P47" i="4"/>
  <c r="R46" i="4"/>
  <c r="N47" i="4"/>
  <c r="M47" i="4"/>
  <c r="L47" i="4"/>
  <c r="K47" i="4"/>
  <c r="J47" i="4"/>
  <c r="H47" i="4"/>
  <c r="G47" i="4"/>
  <c r="F47" i="4"/>
  <c r="R45" i="4"/>
  <c r="O47" i="4"/>
  <c r="I47" i="4"/>
  <c r="P44" i="4"/>
  <c r="J44" i="4"/>
  <c r="R43" i="4"/>
  <c r="O44" i="4"/>
  <c r="M44" i="4"/>
  <c r="L44" i="4"/>
  <c r="K44" i="4"/>
  <c r="I44" i="4"/>
  <c r="G44" i="4"/>
  <c r="F44" i="4"/>
  <c r="Q43" i="4"/>
  <c r="S43" i="4" s="1"/>
  <c r="R42" i="4"/>
  <c r="N44" i="4"/>
  <c r="H44" i="4"/>
  <c r="Q42" i="4"/>
  <c r="S42" i="4" s="1"/>
  <c r="O41" i="4"/>
  <c r="R40" i="4"/>
  <c r="P41" i="4"/>
  <c r="N41" i="4"/>
  <c r="M41" i="4"/>
  <c r="J41" i="4"/>
  <c r="I41" i="4"/>
  <c r="H41" i="4"/>
  <c r="G41" i="4"/>
  <c r="Q40" i="4"/>
  <c r="S40" i="4" s="1"/>
  <c r="R39" i="4"/>
  <c r="L41" i="4"/>
  <c r="K41" i="4"/>
  <c r="F41" i="4"/>
  <c r="Q39" i="4"/>
  <c r="S39" i="4" s="1"/>
  <c r="O38" i="4"/>
  <c r="M38" i="4"/>
  <c r="L38" i="4"/>
  <c r="K38" i="4"/>
  <c r="I38" i="4"/>
  <c r="G38" i="4"/>
  <c r="F38" i="4"/>
  <c r="E38" i="4"/>
  <c r="R37" i="4"/>
  <c r="P38" i="4"/>
  <c r="N38" i="4"/>
  <c r="J38" i="4"/>
  <c r="H38" i="4"/>
  <c r="R36" i="4"/>
  <c r="N35" i="4"/>
  <c r="M35" i="4"/>
  <c r="R34" i="4"/>
  <c r="P35" i="4"/>
  <c r="O35" i="4"/>
  <c r="L35" i="4"/>
  <c r="K35" i="4"/>
  <c r="J35" i="4"/>
  <c r="I35" i="4"/>
  <c r="F35" i="4"/>
  <c r="Q34" i="4"/>
  <c r="S34" i="4" s="1"/>
  <c r="R33" i="4"/>
  <c r="H35" i="4"/>
  <c r="G35" i="4"/>
  <c r="Q33" i="4"/>
  <c r="S33" i="4" s="1"/>
  <c r="N32" i="4"/>
  <c r="L32" i="4"/>
  <c r="K32" i="4"/>
  <c r="F32" i="4"/>
  <c r="E32" i="4"/>
  <c r="P32" i="4"/>
  <c r="J32" i="4"/>
  <c r="I32" i="4"/>
  <c r="G32" i="4"/>
  <c r="O32" i="4"/>
  <c r="H32" i="4"/>
  <c r="P29" i="4"/>
  <c r="N29" i="4"/>
  <c r="M29" i="4"/>
  <c r="K29" i="4"/>
  <c r="J29" i="4"/>
  <c r="H29" i="4"/>
  <c r="G29" i="4"/>
  <c r="E29" i="4"/>
  <c r="L29" i="4"/>
  <c r="I29" i="4"/>
  <c r="Q27" i="4"/>
  <c r="S27" i="4" s="1"/>
  <c r="P26" i="4"/>
  <c r="O26" i="4"/>
  <c r="N26" i="4"/>
  <c r="M26" i="4"/>
  <c r="L26" i="4"/>
  <c r="K26" i="4"/>
  <c r="J26" i="4"/>
  <c r="I26" i="4"/>
  <c r="H26" i="4"/>
  <c r="G26" i="4"/>
  <c r="F26" i="4"/>
  <c r="Q25" i="4"/>
  <c r="S25" i="4" s="1"/>
  <c r="E26" i="4"/>
  <c r="Q24" i="4"/>
  <c r="S24" i="4" s="1"/>
  <c r="P23" i="4"/>
  <c r="O23" i="4"/>
  <c r="M23" i="4"/>
  <c r="K23" i="4"/>
  <c r="I23" i="4"/>
  <c r="G23" i="4"/>
  <c r="E23" i="4"/>
  <c r="Q22" i="4"/>
  <c r="S22" i="4" s="1"/>
  <c r="N23" i="4"/>
  <c r="L23" i="4"/>
  <c r="J23" i="4"/>
  <c r="H23" i="4"/>
  <c r="F23" i="4"/>
  <c r="P20" i="4"/>
  <c r="O20" i="4"/>
  <c r="N20" i="4"/>
  <c r="M20" i="4"/>
  <c r="L20" i="4"/>
  <c r="K20" i="4"/>
  <c r="J20" i="4"/>
  <c r="I20" i="4"/>
  <c r="G20" i="4"/>
  <c r="F20" i="4"/>
  <c r="E20" i="4"/>
  <c r="Q19" i="4"/>
  <c r="S19" i="4" s="1"/>
  <c r="Q18" i="4"/>
  <c r="S18" i="4" s="1"/>
  <c r="P17" i="4"/>
  <c r="O17" i="4"/>
  <c r="N17" i="4"/>
  <c r="M17" i="4"/>
  <c r="L17" i="4"/>
  <c r="K17" i="4"/>
  <c r="I17" i="4"/>
  <c r="H17" i="4"/>
  <c r="G17" i="4"/>
  <c r="F17" i="4"/>
  <c r="E17" i="4"/>
  <c r="R16" i="4"/>
  <c r="Q16" i="4"/>
  <c r="R15" i="4"/>
  <c r="Q15" i="4"/>
  <c r="S15" i="4" s="1"/>
  <c r="P14" i="4"/>
  <c r="O14" i="4"/>
  <c r="N14" i="4"/>
  <c r="L14" i="4"/>
  <c r="J14" i="4"/>
  <c r="I14" i="4"/>
  <c r="H14" i="4"/>
  <c r="F14" i="4"/>
  <c r="R13" i="4"/>
  <c r="M14" i="4"/>
  <c r="K14" i="4"/>
  <c r="E14" i="4"/>
  <c r="R12" i="4"/>
  <c r="I11" i="4"/>
  <c r="R10" i="4"/>
  <c r="N11" i="4"/>
  <c r="M11" i="4"/>
  <c r="L11" i="4"/>
  <c r="K11" i="4"/>
  <c r="J11" i="4"/>
  <c r="H11" i="4"/>
  <c r="G11" i="4"/>
  <c r="F11" i="4"/>
  <c r="R9" i="4"/>
  <c r="P11" i="4"/>
  <c r="O11" i="4"/>
  <c r="M84" i="4"/>
  <c r="E8" i="4"/>
  <c r="R7" i="4"/>
  <c r="O8" i="4"/>
  <c r="N8" i="4"/>
  <c r="M8" i="4"/>
  <c r="L8" i="4"/>
  <c r="K8" i="4"/>
  <c r="I8" i="4"/>
  <c r="H8" i="4"/>
  <c r="G8" i="4"/>
  <c r="F8" i="4"/>
  <c r="Q7" i="4"/>
  <c r="S7" i="4" s="1"/>
  <c r="R6" i="4"/>
  <c r="P8" i="4"/>
  <c r="J84" i="4"/>
  <c r="E5" i="4"/>
  <c r="R4" i="4"/>
  <c r="P5" i="4"/>
  <c r="O5" i="4"/>
  <c r="L85" i="4"/>
  <c r="L86" i="4" s="1"/>
  <c r="J5" i="4"/>
  <c r="I85" i="4"/>
  <c r="F85" i="4"/>
  <c r="R3" i="4"/>
  <c r="K84" i="4"/>
  <c r="H84" i="4"/>
  <c r="F84" i="4"/>
  <c r="E84" i="4"/>
  <c r="R82" i="3"/>
  <c r="P82" i="3"/>
  <c r="P83" i="3" s="1"/>
  <c r="O82" i="3"/>
  <c r="O83" i="3" s="1"/>
  <c r="N82" i="3"/>
  <c r="N83" i="3" s="1"/>
  <c r="M82" i="3"/>
  <c r="M83" i="3" s="1"/>
  <c r="L82" i="3"/>
  <c r="L83" i="3" s="1"/>
  <c r="K82" i="3"/>
  <c r="K83" i="3" s="1"/>
  <c r="J82" i="3"/>
  <c r="J83" i="3" s="1"/>
  <c r="I82" i="3"/>
  <c r="I83" i="3" s="1"/>
  <c r="H82" i="3"/>
  <c r="H83" i="3" s="1"/>
  <c r="G82" i="3"/>
  <c r="G83" i="3" s="1"/>
  <c r="F82" i="3"/>
  <c r="F83" i="3" s="1"/>
  <c r="E82" i="3"/>
  <c r="E83" i="3" s="1"/>
  <c r="R81" i="3"/>
  <c r="P81" i="3"/>
  <c r="O81" i="3"/>
  <c r="N81" i="3"/>
  <c r="M81" i="3"/>
  <c r="L81" i="3"/>
  <c r="K81" i="3"/>
  <c r="J81" i="3"/>
  <c r="I81" i="3"/>
  <c r="H81" i="3"/>
  <c r="G81" i="3"/>
  <c r="F81" i="3"/>
  <c r="E81" i="3"/>
  <c r="Q81" i="3" s="1"/>
  <c r="S81" i="3" s="1"/>
  <c r="R79" i="3"/>
  <c r="P79" i="3"/>
  <c r="O79" i="3"/>
  <c r="O80" i="3" s="1"/>
  <c r="N79" i="3"/>
  <c r="N80" i="3" s="1"/>
  <c r="M79" i="3"/>
  <c r="M80" i="3" s="1"/>
  <c r="L79" i="3"/>
  <c r="L80" i="3" s="1"/>
  <c r="K79" i="3"/>
  <c r="K80" i="3" s="1"/>
  <c r="J79" i="3"/>
  <c r="I79" i="3"/>
  <c r="I80" i="3" s="1"/>
  <c r="H79" i="3"/>
  <c r="H80" i="3" s="1"/>
  <c r="G79" i="3"/>
  <c r="G80" i="3" s="1"/>
  <c r="F79" i="3"/>
  <c r="F80" i="3" s="1"/>
  <c r="E79" i="3"/>
  <c r="E80" i="3" s="1"/>
  <c r="R78" i="3"/>
  <c r="P78" i="3"/>
  <c r="P80" i="3" s="1"/>
  <c r="O78" i="3"/>
  <c r="N78" i="3"/>
  <c r="M78" i="3"/>
  <c r="L78" i="3"/>
  <c r="K78" i="3"/>
  <c r="J78" i="3"/>
  <c r="J80" i="3" s="1"/>
  <c r="I78" i="3"/>
  <c r="H78" i="3"/>
  <c r="G78" i="3"/>
  <c r="F78" i="3"/>
  <c r="E78" i="3"/>
  <c r="Q78" i="3" s="1"/>
  <c r="S78" i="3" s="1"/>
  <c r="R76" i="3"/>
  <c r="P76" i="3"/>
  <c r="P77" i="3" s="1"/>
  <c r="O76" i="3"/>
  <c r="O77" i="3" s="1"/>
  <c r="N76" i="3"/>
  <c r="N77" i="3" s="1"/>
  <c r="M76" i="3"/>
  <c r="M77" i="3" s="1"/>
  <c r="L76" i="3"/>
  <c r="L77" i="3" s="1"/>
  <c r="K76" i="3"/>
  <c r="J76" i="3"/>
  <c r="J77" i="3" s="1"/>
  <c r="I76" i="3"/>
  <c r="I77" i="3" s="1"/>
  <c r="H76" i="3"/>
  <c r="H77" i="3" s="1"/>
  <c r="G76" i="3"/>
  <c r="G77" i="3" s="1"/>
  <c r="F76" i="3"/>
  <c r="F77" i="3" s="1"/>
  <c r="E76" i="3"/>
  <c r="Q76" i="3" s="1"/>
  <c r="S76" i="3" s="1"/>
  <c r="R75" i="3"/>
  <c r="P75" i="3"/>
  <c r="O75" i="3"/>
  <c r="N75" i="3"/>
  <c r="M75" i="3"/>
  <c r="L75" i="3"/>
  <c r="K75" i="3"/>
  <c r="K77" i="3" s="1"/>
  <c r="J75" i="3"/>
  <c r="I75" i="3"/>
  <c r="H75" i="3"/>
  <c r="G75" i="3"/>
  <c r="F75" i="3"/>
  <c r="E75" i="3"/>
  <c r="E77" i="3" s="1"/>
  <c r="R73" i="3"/>
  <c r="P73" i="3"/>
  <c r="P74" i="3" s="1"/>
  <c r="O73" i="3"/>
  <c r="O74" i="3" s="1"/>
  <c r="N73" i="3"/>
  <c r="N74" i="3" s="1"/>
  <c r="M73" i="3"/>
  <c r="M74" i="3" s="1"/>
  <c r="L73" i="3"/>
  <c r="K73" i="3"/>
  <c r="K74" i="3" s="1"/>
  <c r="J73" i="3"/>
  <c r="J74" i="3" s="1"/>
  <c r="I73" i="3"/>
  <c r="I74" i="3" s="1"/>
  <c r="H73" i="3"/>
  <c r="H74" i="3" s="1"/>
  <c r="G73" i="3"/>
  <c r="G74" i="3" s="1"/>
  <c r="F73" i="3"/>
  <c r="E73" i="3"/>
  <c r="Q73" i="3" s="1"/>
  <c r="S73" i="3" s="1"/>
  <c r="R72" i="3"/>
  <c r="P72" i="3"/>
  <c r="O72" i="3"/>
  <c r="N72" i="3"/>
  <c r="M72" i="3"/>
  <c r="L72" i="3"/>
  <c r="L74" i="3" s="1"/>
  <c r="K72" i="3"/>
  <c r="J72" i="3"/>
  <c r="I72" i="3"/>
  <c r="H72" i="3"/>
  <c r="G72" i="3"/>
  <c r="F72" i="3"/>
  <c r="F74" i="3" s="1"/>
  <c r="E72" i="3"/>
  <c r="Q72" i="3" s="1"/>
  <c r="S72" i="3" s="1"/>
  <c r="E71" i="3"/>
  <c r="R70" i="3"/>
  <c r="P70" i="3"/>
  <c r="P71" i="3" s="1"/>
  <c r="O70" i="3"/>
  <c r="O71" i="3" s="1"/>
  <c r="N70" i="3"/>
  <c r="N71" i="3" s="1"/>
  <c r="M70" i="3"/>
  <c r="L70" i="3"/>
  <c r="L71" i="3" s="1"/>
  <c r="K70" i="3"/>
  <c r="K71" i="3" s="1"/>
  <c r="J70" i="3"/>
  <c r="J71" i="3" s="1"/>
  <c r="I70" i="3"/>
  <c r="I71" i="3" s="1"/>
  <c r="H70" i="3"/>
  <c r="H71" i="3" s="1"/>
  <c r="G70" i="3"/>
  <c r="F70" i="3"/>
  <c r="F71" i="3" s="1"/>
  <c r="R69" i="3"/>
  <c r="P69" i="3"/>
  <c r="O69" i="3"/>
  <c r="N69" i="3"/>
  <c r="M69" i="3"/>
  <c r="M71" i="3" s="1"/>
  <c r="L69" i="3"/>
  <c r="K69" i="3"/>
  <c r="J69" i="3"/>
  <c r="I69" i="3"/>
  <c r="H69" i="3"/>
  <c r="G69" i="3"/>
  <c r="G71" i="3" s="1"/>
  <c r="F69" i="3"/>
  <c r="Q69" i="3" s="1"/>
  <c r="S69" i="3" s="1"/>
  <c r="P68" i="3"/>
  <c r="M68" i="3"/>
  <c r="J68" i="3"/>
  <c r="G68" i="3"/>
  <c r="P67" i="3"/>
  <c r="O67" i="3"/>
  <c r="O68" i="3" s="1"/>
  <c r="N67" i="3"/>
  <c r="N68" i="3" s="1"/>
  <c r="M67" i="3"/>
  <c r="L67" i="3"/>
  <c r="L68" i="3" s="1"/>
  <c r="K67" i="3"/>
  <c r="K68" i="3" s="1"/>
  <c r="J67" i="3"/>
  <c r="I67" i="3"/>
  <c r="I68" i="3" s="1"/>
  <c r="H67" i="3"/>
  <c r="H68" i="3" s="1"/>
  <c r="G67" i="3"/>
  <c r="F67" i="3"/>
  <c r="F68" i="3" s="1"/>
  <c r="E67" i="3"/>
  <c r="Q67" i="3" s="1"/>
  <c r="S67" i="3" s="1"/>
  <c r="Q66" i="3"/>
  <c r="S66" i="3" s="1"/>
  <c r="P65" i="3"/>
  <c r="O65" i="3"/>
  <c r="N65" i="3"/>
  <c r="L65" i="3"/>
  <c r="K65" i="3"/>
  <c r="J65" i="3"/>
  <c r="H65" i="3"/>
  <c r="G65" i="3"/>
  <c r="F65" i="3"/>
  <c r="E65" i="3"/>
  <c r="Q64" i="3"/>
  <c r="S64" i="3" s="1"/>
  <c r="M64" i="3"/>
  <c r="M65" i="3" s="1"/>
  <c r="I64" i="3"/>
  <c r="M63" i="3"/>
  <c r="I63" i="3"/>
  <c r="Q63" i="3" s="1"/>
  <c r="S63" i="3" s="1"/>
  <c r="R61" i="3"/>
  <c r="P61" i="3"/>
  <c r="P62" i="3" s="1"/>
  <c r="O61" i="3"/>
  <c r="O62" i="3" s="1"/>
  <c r="N61" i="3"/>
  <c r="M61" i="3"/>
  <c r="M62" i="3" s="1"/>
  <c r="L61" i="3"/>
  <c r="L62" i="3" s="1"/>
  <c r="K61" i="3"/>
  <c r="K62" i="3" s="1"/>
  <c r="J61" i="3"/>
  <c r="J62" i="3" s="1"/>
  <c r="I61" i="3"/>
  <c r="I62" i="3" s="1"/>
  <c r="H61" i="3"/>
  <c r="G61" i="3"/>
  <c r="G62" i="3" s="1"/>
  <c r="F61" i="3"/>
  <c r="F62" i="3" s="1"/>
  <c r="E61" i="3"/>
  <c r="E62" i="3" s="1"/>
  <c r="R60" i="3"/>
  <c r="P60" i="3"/>
  <c r="O60" i="3"/>
  <c r="N60" i="3"/>
  <c r="N62" i="3" s="1"/>
  <c r="M60" i="3"/>
  <c r="L60" i="3"/>
  <c r="K60" i="3"/>
  <c r="J60" i="3"/>
  <c r="I60" i="3"/>
  <c r="H60" i="3"/>
  <c r="H62" i="3" s="1"/>
  <c r="G60" i="3"/>
  <c r="F60" i="3"/>
  <c r="E60" i="3"/>
  <c r="Q60" i="3" s="1"/>
  <c r="S60" i="3" s="1"/>
  <c r="P59" i="3"/>
  <c r="M59" i="3"/>
  <c r="R58" i="3"/>
  <c r="P58" i="3"/>
  <c r="O58" i="3"/>
  <c r="N58" i="3"/>
  <c r="N59" i="3" s="1"/>
  <c r="M58" i="3"/>
  <c r="L58" i="3"/>
  <c r="L59" i="3" s="1"/>
  <c r="K58" i="3"/>
  <c r="K59" i="3" s="1"/>
  <c r="J58" i="3"/>
  <c r="J59" i="3" s="1"/>
  <c r="I58" i="3"/>
  <c r="H58" i="3"/>
  <c r="H59" i="3" s="1"/>
  <c r="G58" i="3"/>
  <c r="G59" i="3" s="1"/>
  <c r="F58" i="3"/>
  <c r="F59" i="3" s="1"/>
  <c r="E58" i="3"/>
  <c r="E59" i="3" s="1"/>
  <c r="R57" i="3"/>
  <c r="P57" i="3"/>
  <c r="O57" i="3"/>
  <c r="O59" i="3" s="1"/>
  <c r="N57" i="3"/>
  <c r="M57" i="3"/>
  <c r="L57" i="3"/>
  <c r="K57" i="3"/>
  <c r="J57" i="3"/>
  <c r="I57" i="3"/>
  <c r="I59" i="3" s="1"/>
  <c r="H57" i="3"/>
  <c r="G57" i="3"/>
  <c r="F57" i="3"/>
  <c r="E57" i="3"/>
  <c r="Q57" i="3" s="1"/>
  <c r="S57" i="3" s="1"/>
  <c r="O56" i="3"/>
  <c r="N56" i="3"/>
  <c r="L56" i="3"/>
  <c r="K56" i="3"/>
  <c r="I56" i="3"/>
  <c r="H56" i="3"/>
  <c r="F56" i="3"/>
  <c r="E56" i="3"/>
  <c r="M55" i="3"/>
  <c r="M56" i="3" s="1"/>
  <c r="G55" i="3"/>
  <c r="G56" i="3" s="1"/>
  <c r="Q54" i="3"/>
  <c r="S54" i="3" s="1"/>
  <c r="P54" i="3"/>
  <c r="P56" i="3" s="1"/>
  <c r="M54" i="3"/>
  <c r="J54" i="3"/>
  <c r="J56" i="3" s="1"/>
  <c r="G54" i="3"/>
  <c r="O53" i="3"/>
  <c r="J53" i="3"/>
  <c r="I53" i="3"/>
  <c r="E53" i="3"/>
  <c r="P52" i="3"/>
  <c r="O52" i="3"/>
  <c r="N52" i="3"/>
  <c r="N53" i="3" s="1"/>
  <c r="M52" i="3"/>
  <c r="L52" i="3"/>
  <c r="K52" i="3"/>
  <c r="K53" i="3" s="1"/>
  <c r="J52" i="3"/>
  <c r="I52" i="3"/>
  <c r="H52" i="3"/>
  <c r="H53" i="3" s="1"/>
  <c r="G52" i="3"/>
  <c r="F52" i="3"/>
  <c r="R51" i="3"/>
  <c r="P51" i="3"/>
  <c r="P53" i="3" s="1"/>
  <c r="O51" i="3"/>
  <c r="O48" i="3" s="1"/>
  <c r="N51" i="3"/>
  <c r="M51" i="3"/>
  <c r="M48" i="3" s="1"/>
  <c r="M50" i="3" s="1"/>
  <c r="L51" i="3"/>
  <c r="L53" i="3" s="1"/>
  <c r="K51" i="3"/>
  <c r="J51" i="3"/>
  <c r="J48" i="3" s="1"/>
  <c r="J50" i="3" s="1"/>
  <c r="I51" i="3"/>
  <c r="I48" i="3" s="1"/>
  <c r="H51" i="3"/>
  <c r="G51" i="3"/>
  <c r="G48" i="3" s="1"/>
  <c r="G50" i="3" s="1"/>
  <c r="F51" i="3"/>
  <c r="F53" i="3" s="1"/>
  <c r="P49" i="3"/>
  <c r="O49" i="3"/>
  <c r="O50" i="3" s="1"/>
  <c r="N49" i="3"/>
  <c r="N50" i="3" s="1"/>
  <c r="M49" i="3"/>
  <c r="L49" i="3"/>
  <c r="K49" i="3"/>
  <c r="K50" i="3" s="1"/>
  <c r="J49" i="3"/>
  <c r="I49" i="3"/>
  <c r="I50" i="3" s="1"/>
  <c r="H49" i="3"/>
  <c r="H50" i="3" s="1"/>
  <c r="G49" i="3"/>
  <c r="F49" i="3"/>
  <c r="E49" i="3"/>
  <c r="Q49" i="3" s="1"/>
  <c r="S49" i="3" s="1"/>
  <c r="N48" i="3"/>
  <c r="K48" i="3"/>
  <c r="H48" i="3"/>
  <c r="E48" i="3"/>
  <c r="R46" i="3"/>
  <c r="P46" i="3"/>
  <c r="P47" i="3" s="1"/>
  <c r="O46" i="3"/>
  <c r="O47" i="3" s="1"/>
  <c r="N46" i="3"/>
  <c r="N47" i="3" s="1"/>
  <c r="M46" i="3"/>
  <c r="M47" i="3" s="1"/>
  <c r="L46" i="3"/>
  <c r="K46" i="3"/>
  <c r="J46" i="3"/>
  <c r="J47" i="3" s="1"/>
  <c r="I46" i="3"/>
  <c r="I47" i="3" s="1"/>
  <c r="H46" i="3"/>
  <c r="H47" i="3" s="1"/>
  <c r="G46" i="3"/>
  <c r="G47" i="3" s="1"/>
  <c r="F46" i="3"/>
  <c r="E46" i="3"/>
  <c r="Q46" i="3" s="1"/>
  <c r="S46" i="3" s="1"/>
  <c r="R45" i="3"/>
  <c r="P45" i="3"/>
  <c r="O45" i="3"/>
  <c r="N45" i="3"/>
  <c r="M45" i="3"/>
  <c r="L45" i="3"/>
  <c r="L47" i="3" s="1"/>
  <c r="K45" i="3"/>
  <c r="K47" i="3" s="1"/>
  <c r="J45" i="3"/>
  <c r="I45" i="3"/>
  <c r="H45" i="3"/>
  <c r="G45" i="3"/>
  <c r="F45" i="3"/>
  <c r="F47" i="3" s="1"/>
  <c r="E45" i="3"/>
  <c r="E47" i="3" s="1"/>
  <c r="Q47" i="3" s="1"/>
  <c r="R43" i="3"/>
  <c r="P43" i="3"/>
  <c r="P44" i="3" s="1"/>
  <c r="O43" i="3"/>
  <c r="O44" i="3" s="1"/>
  <c r="N43" i="3"/>
  <c r="N44" i="3" s="1"/>
  <c r="M43" i="3"/>
  <c r="L43" i="3"/>
  <c r="K43" i="3"/>
  <c r="K44" i="3" s="1"/>
  <c r="J43" i="3"/>
  <c r="J44" i="3" s="1"/>
  <c r="I43" i="3"/>
  <c r="I44" i="3" s="1"/>
  <c r="H43" i="3"/>
  <c r="H44" i="3" s="1"/>
  <c r="G43" i="3"/>
  <c r="F43" i="3"/>
  <c r="E43" i="3"/>
  <c r="Q43" i="3" s="1"/>
  <c r="S43" i="3" s="1"/>
  <c r="R42" i="3"/>
  <c r="P42" i="3"/>
  <c r="O42" i="3"/>
  <c r="N42" i="3"/>
  <c r="M42" i="3"/>
  <c r="M44" i="3" s="1"/>
  <c r="L42" i="3"/>
  <c r="L44" i="3" s="1"/>
  <c r="K42" i="3"/>
  <c r="J42" i="3"/>
  <c r="I42" i="3"/>
  <c r="H42" i="3"/>
  <c r="G42" i="3"/>
  <c r="G44" i="3" s="1"/>
  <c r="F42" i="3"/>
  <c r="F44" i="3" s="1"/>
  <c r="E42" i="3"/>
  <c r="Q42" i="3" s="1"/>
  <c r="S42" i="3" s="1"/>
  <c r="R40" i="3"/>
  <c r="P40" i="3"/>
  <c r="P41" i="3" s="1"/>
  <c r="O40" i="3"/>
  <c r="O41" i="3" s="1"/>
  <c r="N40" i="3"/>
  <c r="M40" i="3"/>
  <c r="L40" i="3"/>
  <c r="L41" i="3" s="1"/>
  <c r="K40" i="3"/>
  <c r="K41" i="3" s="1"/>
  <c r="J40" i="3"/>
  <c r="J41" i="3" s="1"/>
  <c r="I40" i="3"/>
  <c r="I41" i="3" s="1"/>
  <c r="H40" i="3"/>
  <c r="G40" i="3"/>
  <c r="F40" i="3"/>
  <c r="F41" i="3" s="1"/>
  <c r="E40" i="3"/>
  <c r="Q40" i="3" s="1"/>
  <c r="S40" i="3" s="1"/>
  <c r="R39" i="3"/>
  <c r="P39" i="3"/>
  <c r="O39" i="3"/>
  <c r="N39" i="3"/>
  <c r="N41" i="3" s="1"/>
  <c r="M39" i="3"/>
  <c r="M41" i="3" s="1"/>
  <c r="L39" i="3"/>
  <c r="K39" i="3"/>
  <c r="J39" i="3"/>
  <c r="I39" i="3"/>
  <c r="H39" i="3"/>
  <c r="H41" i="3" s="1"/>
  <c r="G39" i="3"/>
  <c r="G41" i="3" s="1"/>
  <c r="F39" i="3"/>
  <c r="E39" i="3"/>
  <c r="Q39" i="3" s="1"/>
  <c r="S39" i="3" s="1"/>
  <c r="O38" i="3"/>
  <c r="M38" i="3"/>
  <c r="L38" i="3"/>
  <c r="K38" i="3"/>
  <c r="I38" i="3"/>
  <c r="G38" i="3"/>
  <c r="F38" i="3"/>
  <c r="E38" i="3"/>
  <c r="R37" i="3"/>
  <c r="P37" i="3"/>
  <c r="P38" i="3" s="1"/>
  <c r="N37" i="3"/>
  <c r="N38" i="3" s="1"/>
  <c r="L37" i="3"/>
  <c r="J37" i="3"/>
  <c r="J38" i="3" s="1"/>
  <c r="H37" i="3"/>
  <c r="H38" i="3" s="1"/>
  <c r="F37" i="3"/>
  <c r="Q37" i="3" s="1"/>
  <c r="S37" i="3" s="1"/>
  <c r="R36" i="3"/>
  <c r="P36" i="3"/>
  <c r="N36" i="3"/>
  <c r="L36" i="3"/>
  <c r="J36" i="3"/>
  <c r="H36" i="3"/>
  <c r="F36" i="3"/>
  <c r="Q36" i="3" s="1"/>
  <c r="S36" i="3" s="1"/>
  <c r="R34" i="3"/>
  <c r="P34" i="3"/>
  <c r="P35" i="3" s="1"/>
  <c r="O34" i="3"/>
  <c r="N34" i="3"/>
  <c r="N35" i="3" s="1"/>
  <c r="M34" i="3"/>
  <c r="M35" i="3" s="1"/>
  <c r="L34" i="3"/>
  <c r="L35" i="3" s="1"/>
  <c r="K34" i="3"/>
  <c r="K35" i="3" s="1"/>
  <c r="J34" i="3"/>
  <c r="J35" i="3" s="1"/>
  <c r="I34" i="3"/>
  <c r="H34" i="3"/>
  <c r="H35" i="3" s="1"/>
  <c r="G34" i="3"/>
  <c r="G35" i="3" s="1"/>
  <c r="F34" i="3"/>
  <c r="F35" i="3" s="1"/>
  <c r="E34" i="3"/>
  <c r="E35" i="3" s="1"/>
  <c r="R33" i="3"/>
  <c r="P33" i="3"/>
  <c r="O33" i="3"/>
  <c r="O35" i="3" s="1"/>
  <c r="N33" i="3"/>
  <c r="M33" i="3"/>
  <c r="L33" i="3"/>
  <c r="K33" i="3"/>
  <c r="J33" i="3"/>
  <c r="I33" i="3"/>
  <c r="I35" i="3" s="1"/>
  <c r="H33" i="3"/>
  <c r="G33" i="3"/>
  <c r="F33" i="3"/>
  <c r="E33" i="3"/>
  <c r="Q33" i="3" s="1"/>
  <c r="S33" i="3" s="1"/>
  <c r="N32" i="3"/>
  <c r="K32" i="3"/>
  <c r="F32" i="3"/>
  <c r="E32" i="3"/>
  <c r="P31" i="3"/>
  <c r="P32" i="3" s="1"/>
  <c r="O31" i="3"/>
  <c r="O32" i="3" s="1"/>
  <c r="N31" i="3"/>
  <c r="M31" i="3"/>
  <c r="M32" i="3" s="1"/>
  <c r="L31" i="3"/>
  <c r="L32" i="3" s="1"/>
  <c r="J31" i="3"/>
  <c r="I31" i="3"/>
  <c r="I32" i="3" s="1"/>
  <c r="H31" i="3"/>
  <c r="G31" i="3"/>
  <c r="Q31" i="3" s="1"/>
  <c r="S31" i="3" s="1"/>
  <c r="P30" i="3"/>
  <c r="O30" i="3"/>
  <c r="N30" i="3"/>
  <c r="M30" i="3"/>
  <c r="L30" i="3"/>
  <c r="J30" i="3"/>
  <c r="J32" i="3" s="1"/>
  <c r="I30" i="3"/>
  <c r="H30" i="3"/>
  <c r="Q30" i="3" s="1"/>
  <c r="S30" i="3" s="1"/>
  <c r="G30" i="3"/>
  <c r="G32" i="3" s="1"/>
  <c r="P29" i="3"/>
  <c r="O29" i="3"/>
  <c r="N29" i="3"/>
  <c r="M29" i="3"/>
  <c r="K29" i="3"/>
  <c r="J29" i="3"/>
  <c r="I29" i="3"/>
  <c r="H29" i="3"/>
  <c r="G29" i="3"/>
  <c r="F29" i="3"/>
  <c r="E29" i="3"/>
  <c r="Q29" i="3" s="1"/>
  <c r="O28" i="3"/>
  <c r="L28" i="3"/>
  <c r="L29" i="3" s="1"/>
  <c r="I28" i="3"/>
  <c r="F28" i="3"/>
  <c r="O27" i="3"/>
  <c r="L27" i="3"/>
  <c r="Q27" i="3" s="1"/>
  <c r="S27" i="3" s="1"/>
  <c r="I27" i="3"/>
  <c r="F27" i="3"/>
  <c r="P26" i="3"/>
  <c r="O26" i="3"/>
  <c r="N26" i="3"/>
  <c r="M26" i="3"/>
  <c r="L26" i="3"/>
  <c r="K26" i="3"/>
  <c r="J26" i="3"/>
  <c r="I26" i="3"/>
  <c r="H26" i="3"/>
  <c r="G26" i="3"/>
  <c r="F26" i="3"/>
  <c r="E25" i="3"/>
  <c r="E26" i="3" s="1"/>
  <c r="Q26" i="3" s="1"/>
  <c r="E24" i="3"/>
  <c r="Q24" i="3" s="1"/>
  <c r="S24" i="3" s="1"/>
  <c r="O23" i="3"/>
  <c r="M23" i="3"/>
  <c r="L23" i="3"/>
  <c r="K23" i="3"/>
  <c r="I23" i="3"/>
  <c r="G23" i="3"/>
  <c r="F23" i="3"/>
  <c r="E23" i="3"/>
  <c r="Q22" i="3"/>
  <c r="S22" i="3" s="1"/>
  <c r="P21" i="3"/>
  <c r="P23" i="3" s="1"/>
  <c r="N21" i="3"/>
  <c r="N23" i="3" s="1"/>
  <c r="L21" i="3"/>
  <c r="J21" i="3"/>
  <c r="J23" i="3" s="1"/>
  <c r="H21" i="3"/>
  <c r="H23" i="3" s="1"/>
  <c r="F21" i="3"/>
  <c r="Q21" i="3" s="1"/>
  <c r="S21" i="3" s="1"/>
  <c r="P20" i="3"/>
  <c r="O20" i="3"/>
  <c r="N20" i="3"/>
  <c r="M20" i="3"/>
  <c r="K20" i="3"/>
  <c r="J20" i="3"/>
  <c r="I20" i="3"/>
  <c r="H20" i="3"/>
  <c r="G20" i="3"/>
  <c r="E20" i="3"/>
  <c r="L19" i="3"/>
  <c r="L20" i="3" s="1"/>
  <c r="F19" i="3"/>
  <c r="F20" i="3" s="1"/>
  <c r="Q18" i="3"/>
  <c r="S18" i="3" s="1"/>
  <c r="L18" i="3"/>
  <c r="F18" i="3"/>
  <c r="P17" i="3"/>
  <c r="O17" i="3"/>
  <c r="N17" i="3"/>
  <c r="M17" i="3"/>
  <c r="L17" i="3"/>
  <c r="K17" i="3"/>
  <c r="I17" i="3"/>
  <c r="H17" i="3"/>
  <c r="G17" i="3"/>
  <c r="F17" i="3"/>
  <c r="E17" i="3"/>
  <c r="R16" i="3"/>
  <c r="Q16" i="3"/>
  <c r="S16" i="3" s="1"/>
  <c r="J16" i="3"/>
  <c r="J17" i="3" s="1"/>
  <c r="R15" i="3"/>
  <c r="Q15" i="3"/>
  <c r="S15" i="3" s="1"/>
  <c r="J15" i="3"/>
  <c r="P14" i="3"/>
  <c r="N14" i="3"/>
  <c r="M14" i="3"/>
  <c r="L14" i="3"/>
  <c r="J14" i="3"/>
  <c r="H14" i="3"/>
  <c r="G14" i="3"/>
  <c r="F14" i="3"/>
  <c r="R13" i="3"/>
  <c r="O13" i="3"/>
  <c r="O14" i="3" s="1"/>
  <c r="M13" i="3"/>
  <c r="K13" i="3"/>
  <c r="K14" i="3" s="1"/>
  <c r="I13" i="3"/>
  <c r="I14" i="3" s="1"/>
  <c r="G13" i="3"/>
  <c r="E13" i="3"/>
  <c r="E14" i="3" s="1"/>
  <c r="Q14" i="3" s="1"/>
  <c r="R12" i="3"/>
  <c r="O12" i="3"/>
  <c r="M12" i="3"/>
  <c r="K12" i="3"/>
  <c r="I12" i="3"/>
  <c r="G12" i="3"/>
  <c r="E12" i="3"/>
  <c r="Q12" i="3" s="1"/>
  <c r="S12" i="3" s="1"/>
  <c r="R10" i="3"/>
  <c r="P10" i="3"/>
  <c r="P11" i="3" s="1"/>
  <c r="O10" i="3"/>
  <c r="N10" i="3"/>
  <c r="N11" i="3" s="1"/>
  <c r="M10" i="3"/>
  <c r="M11" i="3" s="1"/>
  <c r="L10" i="3"/>
  <c r="L11" i="3" s="1"/>
  <c r="K10" i="3"/>
  <c r="J10" i="3"/>
  <c r="J11" i="3" s="1"/>
  <c r="I10" i="3"/>
  <c r="H10" i="3"/>
  <c r="H11" i="3" s="1"/>
  <c r="G10" i="3"/>
  <c r="G11" i="3" s="1"/>
  <c r="F10" i="3"/>
  <c r="F11" i="3" s="1"/>
  <c r="E10" i="3"/>
  <c r="Q10" i="3" s="1"/>
  <c r="S10" i="3" s="1"/>
  <c r="R9" i="3"/>
  <c r="P9" i="3"/>
  <c r="O9" i="3"/>
  <c r="O11" i="3" s="1"/>
  <c r="N9" i="3"/>
  <c r="M9" i="3"/>
  <c r="L9" i="3"/>
  <c r="K9" i="3"/>
  <c r="K11" i="3" s="1"/>
  <c r="J9" i="3"/>
  <c r="I9" i="3"/>
  <c r="I11" i="3" s="1"/>
  <c r="H9" i="3"/>
  <c r="G9" i="3"/>
  <c r="F9" i="3"/>
  <c r="E9" i="3"/>
  <c r="E11" i="3" s="1"/>
  <c r="R7" i="3"/>
  <c r="P7" i="3"/>
  <c r="O7" i="3"/>
  <c r="O8" i="3" s="1"/>
  <c r="N7" i="3"/>
  <c r="N8" i="3" s="1"/>
  <c r="M7" i="3"/>
  <c r="M8" i="3" s="1"/>
  <c r="L7" i="3"/>
  <c r="K7" i="3"/>
  <c r="K8" i="3" s="1"/>
  <c r="J7" i="3"/>
  <c r="I7" i="3"/>
  <c r="I8" i="3" s="1"/>
  <c r="H7" i="3"/>
  <c r="H8" i="3" s="1"/>
  <c r="G7" i="3"/>
  <c r="G8" i="3" s="1"/>
  <c r="F7" i="3"/>
  <c r="E7" i="3"/>
  <c r="Q7" i="3" s="1"/>
  <c r="S7" i="3" s="1"/>
  <c r="R6" i="3"/>
  <c r="P6" i="3"/>
  <c r="P8" i="3" s="1"/>
  <c r="O6" i="3"/>
  <c r="N6" i="3"/>
  <c r="M6" i="3"/>
  <c r="L6" i="3"/>
  <c r="L8" i="3" s="1"/>
  <c r="K6" i="3"/>
  <c r="J6" i="3"/>
  <c r="J8" i="3" s="1"/>
  <c r="I6" i="3"/>
  <c r="H6" i="3"/>
  <c r="G6" i="3"/>
  <c r="F6" i="3"/>
  <c r="F8" i="3" s="1"/>
  <c r="E6" i="3"/>
  <c r="Q6" i="3" s="1"/>
  <c r="S6" i="3" s="1"/>
  <c r="R4" i="3"/>
  <c r="P4" i="3"/>
  <c r="P5" i="3" s="1"/>
  <c r="O4" i="3"/>
  <c r="O5" i="3" s="1"/>
  <c r="N4" i="3"/>
  <c r="M4" i="3"/>
  <c r="M85" i="3" s="1"/>
  <c r="L4" i="3"/>
  <c r="L85" i="3" s="1"/>
  <c r="K4" i="3"/>
  <c r="K85" i="3" s="1"/>
  <c r="J4" i="3"/>
  <c r="J5" i="3" s="1"/>
  <c r="I4" i="3"/>
  <c r="I5" i="3" s="1"/>
  <c r="H4" i="3"/>
  <c r="G4" i="3"/>
  <c r="G85" i="3" s="1"/>
  <c r="F4" i="3"/>
  <c r="F85" i="3" s="1"/>
  <c r="E4" i="3"/>
  <c r="Q4" i="3" s="1"/>
  <c r="S4" i="3" s="1"/>
  <c r="R3" i="3"/>
  <c r="P3" i="3"/>
  <c r="O3" i="3"/>
  <c r="O84" i="3" s="1"/>
  <c r="N3" i="3"/>
  <c r="N84" i="3" s="1"/>
  <c r="M3" i="3"/>
  <c r="M5" i="3" s="1"/>
  <c r="L3" i="3"/>
  <c r="K3" i="3"/>
  <c r="J3" i="3"/>
  <c r="J84" i="3" s="1"/>
  <c r="I3" i="3"/>
  <c r="I84" i="3" s="1"/>
  <c r="H3" i="3"/>
  <c r="H84" i="3" s="1"/>
  <c r="G3" i="3"/>
  <c r="G5" i="3" s="1"/>
  <c r="F3" i="3"/>
  <c r="E3" i="3"/>
  <c r="Q68" i="4" l="1"/>
  <c r="S6" i="4"/>
  <c r="Q26" i="4"/>
  <c r="F86" i="4"/>
  <c r="N84" i="4"/>
  <c r="Q38" i="4"/>
  <c r="Q59" i="4"/>
  <c r="I84" i="4"/>
  <c r="I86" i="4" s="1"/>
  <c r="O84" i="4"/>
  <c r="G85" i="4"/>
  <c r="M85" i="4"/>
  <c r="M86" i="4" s="1"/>
  <c r="F5" i="4"/>
  <c r="Q9" i="4"/>
  <c r="S9" i="4" s="1"/>
  <c r="G14" i="4"/>
  <c r="Q14" i="4" s="1"/>
  <c r="J17" i="4"/>
  <c r="Q17" i="4" s="1"/>
  <c r="Q23" i="4"/>
  <c r="O29" i="4"/>
  <c r="M32" i="4"/>
  <c r="Q32" i="4" s="1"/>
  <c r="E35" i="4"/>
  <c r="Q35" i="4" s="1"/>
  <c r="E41" i="4"/>
  <c r="Q41" i="4" s="1"/>
  <c r="E44" i="4"/>
  <c r="Q44" i="4" s="1"/>
  <c r="F53" i="4"/>
  <c r="Q52" i="4"/>
  <c r="Q55" i="4"/>
  <c r="S55" i="4" s="1"/>
  <c r="Q63" i="4"/>
  <c r="S63" i="4" s="1"/>
  <c r="Q65" i="4"/>
  <c r="K71" i="4"/>
  <c r="Q71" i="4" s="1"/>
  <c r="Q75" i="4"/>
  <c r="S75" i="4" s="1"/>
  <c r="Q13" i="4"/>
  <c r="S13" i="4" s="1"/>
  <c r="Q48" i="4"/>
  <c r="S48" i="4" s="1"/>
  <c r="Q58" i="4"/>
  <c r="S58" i="4" s="1"/>
  <c r="P84" i="4"/>
  <c r="H85" i="4"/>
  <c r="H86" i="4" s="1"/>
  <c r="H5" i="4"/>
  <c r="N85" i="4"/>
  <c r="N5" i="4"/>
  <c r="I5" i="4"/>
  <c r="J8" i="4"/>
  <c r="Q8" i="4" s="1"/>
  <c r="J85" i="4"/>
  <c r="J86" i="4" s="1"/>
  <c r="P85" i="4"/>
  <c r="S16" i="4"/>
  <c r="Q36" i="4"/>
  <c r="S36" i="4" s="1"/>
  <c r="Q45" i="4"/>
  <c r="S45" i="4" s="1"/>
  <c r="I50" i="4"/>
  <c r="Q50" i="4" s="1"/>
  <c r="O50" i="4"/>
  <c r="Q54" i="4"/>
  <c r="S54" i="4" s="1"/>
  <c r="J56" i="4"/>
  <c r="Q56" i="4" s="1"/>
  <c r="Q62" i="4"/>
  <c r="Q67" i="4"/>
  <c r="S67" i="4" s="1"/>
  <c r="E74" i="4"/>
  <c r="Q74" i="4" s="1"/>
  <c r="Q76" i="4"/>
  <c r="S76" i="4" s="1"/>
  <c r="Q78" i="4"/>
  <c r="S78" i="4" s="1"/>
  <c r="Q10" i="4"/>
  <c r="S10" i="4" s="1"/>
  <c r="K53" i="4"/>
  <c r="Q80" i="4"/>
  <c r="Q79" i="4"/>
  <c r="S79" i="4" s="1"/>
  <c r="Q81" i="4"/>
  <c r="S81" i="4" s="1"/>
  <c r="O85" i="4"/>
  <c r="G84" i="4"/>
  <c r="L5" i="4"/>
  <c r="Q20" i="4"/>
  <c r="Q21" i="4"/>
  <c r="S21" i="4" s="1"/>
  <c r="F29" i="4"/>
  <c r="Q29" i="4" s="1"/>
  <c r="Q28" i="4"/>
  <c r="S28" i="4" s="1"/>
  <c r="Q37" i="4"/>
  <c r="S37" i="4" s="1"/>
  <c r="Q46" i="4"/>
  <c r="S46" i="4" s="1"/>
  <c r="Q49" i="4"/>
  <c r="S49" i="4" s="1"/>
  <c r="Q57" i="4"/>
  <c r="S57" i="4" s="1"/>
  <c r="Q3" i="4"/>
  <c r="S3" i="4" s="1"/>
  <c r="K5" i="4"/>
  <c r="Q4" i="4"/>
  <c r="S4" i="4" s="1"/>
  <c r="K85" i="4"/>
  <c r="K86" i="4" s="1"/>
  <c r="Q12" i="4"/>
  <c r="S12" i="4" s="1"/>
  <c r="Q30" i="4"/>
  <c r="S30" i="4" s="1"/>
  <c r="Q31" i="4"/>
  <c r="S31" i="4" s="1"/>
  <c r="L50" i="4"/>
  <c r="Q51" i="4"/>
  <c r="S51" i="4" s="1"/>
  <c r="Q83" i="4"/>
  <c r="Q82" i="4"/>
  <c r="S82" i="4" s="1"/>
  <c r="G5" i="4"/>
  <c r="M5" i="4"/>
  <c r="E11" i="4"/>
  <c r="Q11" i="4" s="1"/>
  <c r="E47" i="4"/>
  <c r="Q47" i="4" s="1"/>
  <c r="Q61" i="4"/>
  <c r="S61" i="4" s="1"/>
  <c r="E77" i="4"/>
  <c r="Q77" i="4" s="1"/>
  <c r="E85" i="4"/>
  <c r="E84" i="3"/>
  <c r="E5" i="3"/>
  <c r="Q3" i="3"/>
  <c r="S3" i="3" s="1"/>
  <c r="Q62" i="3"/>
  <c r="Q77" i="3"/>
  <c r="Q23" i="3"/>
  <c r="Q38" i="3"/>
  <c r="Q20" i="3"/>
  <c r="Q59" i="3"/>
  <c r="Q71" i="3"/>
  <c r="Q80" i="3"/>
  <c r="G86" i="3"/>
  <c r="P84" i="3"/>
  <c r="H85" i="3"/>
  <c r="H86" i="3" s="1"/>
  <c r="H5" i="3"/>
  <c r="N85" i="3"/>
  <c r="N86" i="3" s="1"/>
  <c r="N5" i="3"/>
  <c r="Q11" i="3"/>
  <c r="Q17" i="3"/>
  <c r="Q35" i="3"/>
  <c r="K84" i="3"/>
  <c r="K86" i="3" s="1"/>
  <c r="K5" i="3"/>
  <c r="Q32" i="3"/>
  <c r="Q56" i="3"/>
  <c r="Q83" i="3"/>
  <c r="H32" i="3"/>
  <c r="E41" i="3"/>
  <c r="Q41" i="3" s="1"/>
  <c r="G53" i="3"/>
  <c r="Q53" i="3" s="1"/>
  <c r="M53" i="3"/>
  <c r="I65" i="3"/>
  <c r="Q65" i="3" s="1"/>
  <c r="Q79" i="3"/>
  <c r="S79" i="3" s="1"/>
  <c r="I85" i="3"/>
  <c r="I86" i="3" s="1"/>
  <c r="O85" i="3"/>
  <c r="O86" i="3" s="1"/>
  <c r="Q13" i="3"/>
  <c r="S13" i="3" s="1"/>
  <c r="F5" i="3"/>
  <c r="L5" i="3"/>
  <c r="E8" i="3"/>
  <c r="Q8" i="3" s="1"/>
  <c r="Q19" i="3"/>
  <c r="S19" i="3" s="1"/>
  <c r="Q25" i="3"/>
  <c r="S25" i="3" s="1"/>
  <c r="Q34" i="3"/>
  <c r="S34" i="3" s="1"/>
  <c r="E44" i="3"/>
  <c r="Q44" i="3" s="1"/>
  <c r="E50" i="3"/>
  <c r="Q51" i="3"/>
  <c r="S51" i="3" s="1"/>
  <c r="Q55" i="3"/>
  <c r="S55" i="3" s="1"/>
  <c r="Q58" i="3"/>
  <c r="S58" i="3" s="1"/>
  <c r="E68" i="3"/>
  <c r="Q68" i="3" s="1"/>
  <c r="E74" i="3"/>
  <c r="Q74" i="3" s="1"/>
  <c r="Q82" i="3"/>
  <c r="S82" i="3" s="1"/>
  <c r="G84" i="3"/>
  <c r="M84" i="3"/>
  <c r="M86" i="3" s="1"/>
  <c r="J85" i="3"/>
  <c r="J86" i="3" s="1"/>
  <c r="P85" i="3"/>
  <c r="P86" i="3" s="1"/>
  <c r="Q9" i="3"/>
  <c r="S9" i="3" s="1"/>
  <c r="Q28" i="3"/>
  <c r="S28" i="3" s="1"/>
  <c r="Q45" i="3"/>
  <c r="S45" i="3" s="1"/>
  <c r="P48" i="3"/>
  <c r="P50" i="3" s="1"/>
  <c r="Q61" i="3"/>
  <c r="S61" i="3" s="1"/>
  <c r="Q75" i="3"/>
  <c r="S75" i="3" s="1"/>
  <c r="E85" i="3"/>
  <c r="Q52" i="3"/>
  <c r="Q70" i="3"/>
  <c r="S70" i="3" s="1"/>
  <c r="F48" i="3"/>
  <c r="F50" i="3" s="1"/>
  <c r="L48" i="3"/>
  <c r="L50" i="3" s="1"/>
  <c r="O86" i="4" l="1"/>
  <c r="Q53" i="4"/>
  <c r="Q5" i="4"/>
  <c r="R84" i="4"/>
  <c r="N86" i="4"/>
  <c r="E86" i="4"/>
  <c r="R85" i="4"/>
  <c r="Q85" i="4"/>
  <c r="P86" i="4"/>
  <c r="G86" i="4"/>
  <c r="Q84" i="4"/>
  <c r="Q50" i="3"/>
  <c r="Q48" i="3"/>
  <c r="S48" i="3" s="1"/>
  <c r="L84" i="3"/>
  <c r="L86" i="3" s="1"/>
  <c r="F84" i="3"/>
  <c r="F86" i="3" s="1"/>
  <c r="E86" i="3"/>
  <c r="R85" i="3"/>
  <c r="Q85" i="3"/>
  <c r="S85" i="3" s="1"/>
  <c r="Q5" i="3"/>
  <c r="S85" i="4" l="1"/>
  <c r="S84" i="4"/>
  <c r="Q86" i="4"/>
  <c r="Q84" i="3"/>
  <c r="Q86" i="3"/>
  <c r="R84" i="3"/>
  <c r="S84" i="3" l="1"/>
</calcChain>
</file>

<file path=xl/sharedStrings.xml><?xml version="1.0" encoding="utf-8"?>
<sst xmlns="http://schemas.openxmlformats.org/spreadsheetml/2006/main" count="320" uniqueCount="93">
  <si>
    <t>コスト項目</t>
    <rPh sb="3" eb="5">
      <t>コウモク</t>
    </rPh>
    <phoneticPr fontId="3"/>
  </si>
  <si>
    <t>難易度</t>
    <rPh sb="0" eb="3">
      <t>ナンイド</t>
    </rPh>
    <phoneticPr fontId="3"/>
  </si>
  <si>
    <t>具体的なコスト削減方法</t>
    <rPh sb="0" eb="3">
      <t>グタイテキ</t>
    </rPh>
    <rPh sb="7" eb="9">
      <t>サクゲン</t>
    </rPh>
    <rPh sb="9" eb="11">
      <t>ホウホウ</t>
    </rPh>
    <phoneticPr fontId="3"/>
  </si>
  <si>
    <t>削減前後</t>
    <rPh sb="0" eb="2">
      <t>サクゲン</t>
    </rPh>
    <rPh sb="2" eb="4">
      <t>ゼンゴ</t>
    </rPh>
    <phoneticPr fontId="3"/>
  </si>
  <si>
    <t>月次の削減計画（円）</t>
    <rPh sb="0" eb="2">
      <t>ゲツジ</t>
    </rPh>
    <rPh sb="3" eb="5">
      <t>サクゲン</t>
    </rPh>
    <rPh sb="5" eb="7">
      <t>ケイカク</t>
    </rPh>
    <rPh sb="8" eb="9">
      <t>エン</t>
    </rPh>
    <phoneticPr fontId="3"/>
  </si>
  <si>
    <t>合計
（円）</t>
    <rPh sb="2" eb="3">
      <t>エン</t>
    </rPh>
    <phoneticPr fontId="3"/>
  </si>
  <si>
    <t>確かめ算
（円）</t>
    <rPh sb="0" eb="1">
      <t>タシ</t>
    </rPh>
    <rPh sb="3" eb="4">
      <t>ザン</t>
    </rPh>
    <rPh sb="4" eb="5">
      <t>エン</t>
    </rPh>
    <phoneticPr fontId="3"/>
  </si>
  <si>
    <t>差額
（円）</t>
    <rPh sb="0" eb="2">
      <t>サガク</t>
    </rPh>
    <rPh sb="4" eb="5">
      <t>エン</t>
    </rPh>
    <phoneticPr fontId="3"/>
  </si>
  <si>
    <t>備考</t>
  </si>
  <si>
    <t>4月</t>
    <phoneticPr fontId="3"/>
  </si>
  <si>
    <t>5月</t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</si>
  <si>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</si>
  <si>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</si>
  <si>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</si>
  <si>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</si>
  <si>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</si>
  <si>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</si>
  <si>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</si>
  <si>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</si>
  <si>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</si>
  <si>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</si>
  <si>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通勤費</t>
    <rPh sb="0" eb="3">
      <t>ツウキンヒ</t>
    </rPh>
    <phoneticPr fontId="3"/>
  </si>
  <si>
    <t>低</t>
    <rPh sb="0" eb="1">
      <t>テイ</t>
    </rPh>
    <phoneticPr fontId="3"/>
  </si>
  <si>
    <t>テレワーク社員の通勤費は実費で支給する</t>
    <phoneticPr fontId="3"/>
  </si>
  <si>
    <t>前</t>
    <rPh sb="0" eb="1">
      <t>マエ</t>
    </rPh>
    <phoneticPr fontId="3"/>
  </si>
  <si>
    <t>通達翌月（5月）から実行 対象：6名</t>
    <rPh sb="0" eb="2">
      <t>ツウタツ</t>
    </rPh>
    <rPh sb="2" eb="4">
      <t>ヨクゲツ</t>
    </rPh>
    <rPh sb="10" eb="12">
      <t>ジッコウ</t>
    </rPh>
    <rPh sb="13" eb="15">
      <t>タイショウ</t>
    </rPh>
    <rPh sb="17" eb="18">
      <t>メイ</t>
    </rPh>
    <phoneticPr fontId="3"/>
  </si>
  <si>
    <t>後</t>
    <rPh sb="0" eb="1">
      <t>アト</t>
    </rPh>
    <phoneticPr fontId="3"/>
  </si>
  <si>
    <t>削減額</t>
    <rPh sb="0" eb="2">
      <t>サクゲン</t>
    </rPh>
    <rPh sb="2" eb="3">
      <t>ガク</t>
    </rPh>
    <phoneticPr fontId="3"/>
  </si>
  <si>
    <t>定期代を6カ月単位で支給する</t>
    <phoneticPr fontId="3"/>
  </si>
  <si>
    <t>通達翌月（5月）から実行 対象：33名</t>
    <rPh sb="0" eb="2">
      <t>ツウタツ</t>
    </rPh>
    <rPh sb="2" eb="4">
      <t>ヨクゲツ</t>
    </rPh>
    <rPh sb="6" eb="7">
      <t>ガツ</t>
    </rPh>
    <rPh sb="10" eb="12">
      <t>ジッコウ</t>
    </rPh>
    <rPh sb="13" eb="15">
      <t>タイショウ</t>
    </rPh>
    <rPh sb="18" eb="19">
      <t>メイ</t>
    </rPh>
    <phoneticPr fontId="3"/>
  </si>
  <si>
    <t>通勤手段を自転車通勤などに切り替えてもらう</t>
    <rPh sb="0" eb="2">
      <t>ツウキン</t>
    </rPh>
    <rPh sb="2" eb="4">
      <t>シュダン</t>
    </rPh>
    <rPh sb="5" eb="8">
      <t>ジテンシャ</t>
    </rPh>
    <rPh sb="13" eb="14">
      <t>キ</t>
    </rPh>
    <rPh sb="15" eb="16">
      <t>カ</t>
    </rPh>
    <phoneticPr fontId="3"/>
  </si>
  <si>
    <t>通達翌々月（6月）から実行※猶予として2カ月 対象：1名</t>
    <rPh sb="0" eb="2">
      <t>ツウタツ</t>
    </rPh>
    <rPh sb="2" eb="5">
      <t>ヨクヨクゲツ</t>
    </rPh>
    <rPh sb="7" eb="8">
      <t>ガツ</t>
    </rPh>
    <rPh sb="11" eb="13">
      <t>ジッコウ</t>
    </rPh>
    <rPh sb="14" eb="16">
      <t>ユウヨ</t>
    </rPh>
    <rPh sb="21" eb="22">
      <t>ゲツ</t>
    </rPh>
    <rPh sb="23" eb="25">
      <t>タイショウ</t>
    </rPh>
    <rPh sb="27" eb="28">
      <t>メイ</t>
    </rPh>
    <phoneticPr fontId="3"/>
  </si>
  <si>
    <t>出張費</t>
  </si>
  <si>
    <t>グリーン車など利用を制限し、早期予約割引を利用する</t>
    <phoneticPr fontId="3"/>
  </si>
  <si>
    <t>大阪出張 年12回→6回、あとはオンライン
4月（新年度）、12月（年末）の対面を基準に隔月で出張する</t>
    <rPh sb="41" eb="43">
      <t>キジュン</t>
    </rPh>
    <rPh sb="44" eb="46">
      <t>カクゲツ</t>
    </rPh>
    <rPh sb="47" eb="49">
      <t>シュッチョウ</t>
    </rPh>
    <phoneticPr fontId="3"/>
  </si>
  <si>
    <t>中</t>
    <rPh sb="0" eb="1">
      <t>チュウ</t>
    </rPh>
    <phoneticPr fontId="3"/>
  </si>
  <si>
    <t>長期宿泊には短期賃貸マンションを利用する</t>
    <phoneticPr fontId="3"/>
  </si>
  <si>
    <t>研修出張1回 7泊 社員2名</t>
    <rPh sb="0" eb="2">
      <t>ケンシュウ</t>
    </rPh>
    <rPh sb="5" eb="6">
      <t>カイ</t>
    </rPh>
    <rPh sb="8" eb="9">
      <t>ハク</t>
    </rPh>
    <rPh sb="10" eb="12">
      <t>シャイン</t>
    </rPh>
    <rPh sb="13" eb="14">
      <t>メイ</t>
    </rPh>
    <phoneticPr fontId="3"/>
  </si>
  <si>
    <t>出張先の車移動はレンタカー・カーシェアリングを利用する</t>
    <rPh sb="0" eb="3">
      <t>シュッチョウサキ</t>
    </rPh>
    <phoneticPr fontId="3"/>
  </si>
  <si>
    <t>地方出張 年2回 今年は徳島・香川</t>
    <rPh sb="0" eb="2">
      <t>チホウ</t>
    </rPh>
    <rPh sb="2" eb="4">
      <t>シュッチョウ</t>
    </rPh>
    <rPh sb="5" eb="6">
      <t>ネン</t>
    </rPh>
    <rPh sb="7" eb="8">
      <t>カイ</t>
    </rPh>
    <rPh sb="9" eb="11">
      <t>コトシ</t>
    </rPh>
    <rPh sb="12" eb="14">
      <t>トクシマ</t>
    </rPh>
    <rPh sb="15" eb="17">
      <t>カガワ</t>
    </rPh>
    <phoneticPr fontId="3"/>
  </si>
  <si>
    <t>高</t>
    <rPh sb="0" eb="1">
      <t>コウ</t>
    </rPh>
    <phoneticPr fontId="3"/>
  </si>
  <si>
    <t>出張ではなく、オンライン会議で対応する</t>
    <phoneticPr fontId="3"/>
  </si>
  <si>
    <t>大阪出張 年12回→6回、あとはオンライン</t>
    <rPh sb="0" eb="2">
      <t>オオサカ</t>
    </rPh>
    <rPh sb="2" eb="4">
      <t>シュッチョウ</t>
    </rPh>
    <rPh sb="5" eb="6">
      <t>ネン</t>
    </rPh>
    <rPh sb="8" eb="9">
      <t>カイ</t>
    </rPh>
    <rPh sb="11" eb="12">
      <t>カイ</t>
    </rPh>
    <phoneticPr fontId="3"/>
  </si>
  <si>
    <t>事務用品費</t>
  </si>
  <si>
    <t>書類のコピーが多くなる4月に購入。トナー切れになる予測</t>
    <rPh sb="0" eb="2">
      <t>ショルイ</t>
    </rPh>
    <rPh sb="7" eb="8">
      <t>オオ</t>
    </rPh>
    <rPh sb="12" eb="13">
      <t>ガツ</t>
    </rPh>
    <rPh sb="14" eb="16">
      <t>コウニュウ</t>
    </rPh>
    <rPh sb="20" eb="21">
      <t>ギ</t>
    </rPh>
    <rPh sb="25" eb="27">
      <t>ヨソク</t>
    </rPh>
    <phoneticPr fontId="3"/>
  </si>
  <si>
    <t>通信販売を利用して購入する</t>
    <rPh sb="0" eb="2">
      <t>ツウシン</t>
    </rPh>
    <rPh sb="2" eb="4">
      <t>ハンバイ</t>
    </rPh>
    <rPh sb="5" eb="7">
      <t>リヨウ</t>
    </rPh>
    <rPh sb="9" eb="11">
      <t>コウニュウ</t>
    </rPh>
    <phoneticPr fontId="3"/>
  </si>
  <si>
    <t>ボールペンは替芯の購入
3カ月に1回（年4回）のまとめ買いで送料無料にする</t>
    <rPh sb="6" eb="8">
      <t>カエシン</t>
    </rPh>
    <rPh sb="9" eb="11">
      <t>コウニュウ</t>
    </rPh>
    <rPh sb="12" eb="14">
      <t>ショルイ</t>
    </rPh>
    <rPh sb="19" eb="20">
      <t>ネン</t>
    </rPh>
    <rPh sb="21" eb="22">
      <t>カイ</t>
    </rPh>
    <rPh sb="24" eb="25">
      <t>オオ</t>
    </rPh>
    <rPh sb="30" eb="32">
      <t>ソウリョウ</t>
    </rPh>
    <rPh sb="32" eb="34">
      <t>ムリョウ</t>
    </rPh>
    <phoneticPr fontId="3"/>
  </si>
  <si>
    <t>水道光熱費</t>
    <phoneticPr fontId="3"/>
  </si>
  <si>
    <t>冷房／暖房を抑制する</t>
  </si>
  <si>
    <t>今年の冷房時期（6月）から対応</t>
    <rPh sb="0" eb="2">
      <t>コトシ</t>
    </rPh>
    <rPh sb="3" eb="5">
      <t>レイボウ</t>
    </rPh>
    <rPh sb="5" eb="7">
      <t>ジキ</t>
    </rPh>
    <rPh sb="9" eb="10">
      <t>ガツ</t>
    </rPh>
    <rPh sb="13" eb="15">
      <t>タイオウ</t>
    </rPh>
    <phoneticPr fontId="3"/>
  </si>
  <si>
    <t>電気料金の契約を見直す</t>
  </si>
  <si>
    <t>業者選定→申込→切り替えに2カ月、7月分から10％減</t>
    <rPh sb="0" eb="2">
      <t>ギョウシャ</t>
    </rPh>
    <rPh sb="2" eb="4">
      <t>センテイ</t>
    </rPh>
    <rPh sb="5" eb="6">
      <t>モウ</t>
    </rPh>
    <rPh sb="6" eb="7">
      <t>コ</t>
    </rPh>
    <rPh sb="8" eb="9">
      <t>キ</t>
    </rPh>
    <rPh sb="10" eb="11">
      <t>カ</t>
    </rPh>
    <rPh sb="15" eb="16">
      <t>ゲツ</t>
    </rPh>
    <rPh sb="18" eb="19">
      <t>ガツ</t>
    </rPh>
    <rPh sb="19" eb="20">
      <t>ブン</t>
    </rPh>
    <rPh sb="25" eb="26">
      <t>ゲン</t>
    </rPh>
    <phoneticPr fontId="3"/>
  </si>
  <si>
    <t>上・下水道料金の減免措置を申請する</t>
  </si>
  <si>
    <t>すぐに申請。5月分から適応を受ける</t>
    <rPh sb="3" eb="5">
      <t>シンセイ</t>
    </rPh>
    <rPh sb="7" eb="8">
      <t>ガツ</t>
    </rPh>
    <rPh sb="8" eb="9">
      <t>ブン</t>
    </rPh>
    <rPh sb="11" eb="13">
      <t>テキオウ</t>
    </rPh>
    <rPh sb="14" eb="15">
      <t>ウ</t>
    </rPh>
    <phoneticPr fontId="3"/>
  </si>
  <si>
    <t>インターネット回線・電話関係の通信費</t>
    <phoneticPr fontId="3"/>
  </si>
  <si>
    <t>社用携帯のかけ放題を解約し、格安SIMに乗り換える</t>
    <rPh sb="0" eb="4">
      <t>シャヨウケイタイ</t>
    </rPh>
    <rPh sb="7" eb="9">
      <t>ホウダイ</t>
    </rPh>
    <rPh sb="10" eb="12">
      <t>カイヤク</t>
    </rPh>
    <phoneticPr fontId="3"/>
  </si>
  <si>
    <t>光コラボレーション回線に乗り換える</t>
    <phoneticPr fontId="3"/>
  </si>
  <si>
    <t>すぐに申請
6月分から削減
日本橋オフィス移転後（10月以降）は、移転先の回線を利用する</t>
    <rPh sb="3" eb="5">
      <t>シンセイ</t>
    </rPh>
    <rPh sb="14" eb="17">
      <t>ニホンバシ</t>
    </rPh>
    <rPh sb="21" eb="24">
      <t>イテンゴ</t>
    </rPh>
    <rPh sb="27" eb="28">
      <t>ガツ</t>
    </rPh>
    <rPh sb="28" eb="30">
      <t>イコウ</t>
    </rPh>
    <rPh sb="33" eb="36">
      <t>イテンサキ</t>
    </rPh>
    <rPh sb="37" eb="39">
      <t>カイセン</t>
    </rPh>
    <rPh sb="40" eb="42">
      <t>リヨウ</t>
    </rPh>
    <phoneticPr fontId="3"/>
  </si>
  <si>
    <t>固定電話をIP電話に切り替える</t>
    <phoneticPr fontId="3"/>
  </si>
  <si>
    <t>郵送関係の通信費</t>
    <phoneticPr fontId="3"/>
  </si>
  <si>
    <t>「広告郵便物」「バーコード付郵便物」の割引を受ける</t>
    <phoneticPr fontId="3"/>
  </si>
  <si>
    <t>すぐに実行
郵便物の枚数は、メッセージアプリへの移行で減っていく計画になっている</t>
    <rPh sb="3" eb="5">
      <t>ジッコウ</t>
    </rPh>
    <rPh sb="6" eb="9">
      <t>ユウビンブツ</t>
    </rPh>
    <rPh sb="10" eb="12">
      <t>マイスウ</t>
    </rPh>
    <rPh sb="24" eb="26">
      <t>イコウ</t>
    </rPh>
    <rPh sb="27" eb="28">
      <t>ヘ</t>
    </rPh>
    <rPh sb="32" eb="34">
      <t>ケイカク</t>
    </rPh>
    <phoneticPr fontId="3"/>
  </si>
  <si>
    <t>手紙やはがきなどをメッセージアプリに切り替える</t>
    <phoneticPr fontId="3"/>
  </si>
  <si>
    <t>目標：送付先3400件中400件を今年度中に切り替える
5月からメッセージアプリ利用開始</t>
    <rPh sb="3" eb="6">
      <t>ソウフサキ</t>
    </rPh>
    <rPh sb="10" eb="11">
      <t>ケン</t>
    </rPh>
    <rPh sb="11" eb="12">
      <t>チュウ</t>
    </rPh>
    <rPh sb="15" eb="16">
      <t>ケン</t>
    </rPh>
    <rPh sb="20" eb="21">
      <t>チュウ</t>
    </rPh>
    <rPh sb="22" eb="23">
      <t>キ</t>
    </rPh>
    <rPh sb="24" eb="25">
      <t>カ</t>
    </rPh>
    <rPh sb="29" eb="30">
      <t>ガツ</t>
    </rPh>
    <rPh sb="40" eb="42">
      <t>リヨウ</t>
    </rPh>
    <rPh sb="42" eb="44">
      <t>カイシ</t>
    </rPh>
    <phoneticPr fontId="3"/>
  </si>
  <si>
    <t>福利厚生費</t>
    <phoneticPr fontId="3"/>
  </si>
  <si>
    <t>恒例の社内イベント（締め会）を見直す</t>
    <rPh sb="10" eb="11">
      <t>シ</t>
    </rPh>
    <rPh sb="12" eb="13">
      <t>カイ</t>
    </rPh>
    <phoneticPr fontId="3"/>
  </si>
  <si>
    <t>四半期に1回の締め会を2回に減らす
忘年会（12月）と、半期後の6月を残す</t>
    <rPh sb="0" eb="3">
      <t>シハンキ</t>
    </rPh>
    <rPh sb="5" eb="6">
      <t>カイ</t>
    </rPh>
    <rPh sb="7" eb="8">
      <t>シ</t>
    </rPh>
    <rPh sb="9" eb="10">
      <t>カイ</t>
    </rPh>
    <rPh sb="12" eb="13">
      <t>カイ</t>
    </rPh>
    <rPh sb="14" eb="15">
      <t>ヘ</t>
    </rPh>
    <rPh sb="18" eb="21">
      <t>ボウネンカイ</t>
    </rPh>
    <rPh sb="24" eb="25">
      <t>ガツ</t>
    </rPh>
    <rPh sb="28" eb="30">
      <t>ハンキ</t>
    </rPh>
    <rPh sb="30" eb="31">
      <t>アト</t>
    </rPh>
    <rPh sb="33" eb="34">
      <t>ガツ</t>
    </rPh>
    <rPh sb="35" eb="36">
      <t>ノコ</t>
    </rPh>
    <phoneticPr fontId="3"/>
  </si>
  <si>
    <t>借り上げ社宅使用料を見直す</t>
    <rPh sb="0" eb="1">
      <t>カ</t>
    </rPh>
    <rPh sb="2" eb="3">
      <t>ア</t>
    </rPh>
    <phoneticPr fontId="3"/>
  </si>
  <si>
    <t>この4月から賃料が5000円上がる
社員負担を定額1万7000円から、率25%に変更
すぐに告知。6月家賃から削減</t>
    <rPh sb="3" eb="4">
      <t>ガツ</t>
    </rPh>
    <rPh sb="6" eb="8">
      <t>チンリョウ</t>
    </rPh>
    <rPh sb="13" eb="14">
      <t>エン</t>
    </rPh>
    <rPh sb="14" eb="15">
      <t>ア</t>
    </rPh>
    <rPh sb="18" eb="20">
      <t>シャイン</t>
    </rPh>
    <rPh sb="20" eb="22">
      <t>フタン</t>
    </rPh>
    <rPh sb="23" eb="25">
      <t>テイガク</t>
    </rPh>
    <rPh sb="26" eb="27">
      <t>マン</t>
    </rPh>
    <rPh sb="31" eb="32">
      <t>エン</t>
    </rPh>
    <rPh sb="35" eb="36">
      <t>リツ</t>
    </rPh>
    <rPh sb="40" eb="42">
      <t>ヘンコウ</t>
    </rPh>
    <rPh sb="46" eb="48">
      <t>コクチ</t>
    </rPh>
    <rPh sb="55" eb="57">
      <t>サクゲン</t>
    </rPh>
    <phoneticPr fontId="3"/>
  </si>
  <si>
    <t>大手スポーツジムとの法人契約との見直す</t>
    <rPh sb="0" eb="2">
      <t>オオテ</t>
    </rPh>
    <phoneticPr fontId="3"/>
  </si>
  <si>
    <t>すぐに解約（大手スポーツジム）→5月からコンビニジムと契約</t>
    <rPh sb="3" eb="5">
      <t>カイヤク</t>
    </rPh>
    <rPh sb="6" eb="8">
      <t>オオテ</t>
    </rPh>
    <rPh sb="17" eb="18">
      <t>ガツ</t>
    </rPh>
    <rPh sb="27" eb="29">
      <t>ケイヤク</t>
    </rPh>
    <phoneticPr fontId="3"/>
  </si>
  <si>
    <t>交際費</t>
  </si>
  <si>
    <t>お中元・お歳暮の贈答費を取引先区分で調整する</t>
    <phoneticPr fontId="3"/>
  </si>
  <si>
    <t>接待費の対売上比を0.35%→0.2%、削減目標：接待106万円、贈答44万円
お中元（8月）から実行</t>
    <rPh sb="0" eb="3">
      <t>セッタイヒ</t>
    </rPh>
    <rPh sb="4" eb="5">
      <t>タイ</t>
    </rPh>
    <rPh sb="5" eb="7">
      <t>ウリアゲ</t>
    </rPh>
    <rPh sb="7" eb="8">
      <t>ヒ</t>
    </rPh>
    <rPh sb="20" eb="22">
      <t>サクゲン</t>
    </rPh>
    <rPh sb="22" eb="24">
      <t>モクヒョウ</t>
    </rPh>
    <rPh sb="25" eb="27">
      <t>セッタイ</t>
    </rPh>
    <rPh sb="30" eb="31">
      <t>マン</t>
    </rPh>
    <rPh sb="31" eb="32">
      <t>エン</t>
    </rPh>
    <rPh sb="33" eb="35">
      <t>ゾウトウ</t>
    </rPh>
    <rPh sb="37" eb="38">
      <t>マン</t>
    </rPh>
    <rPh sb="38" eb="39">
      <t>エン</t>
    </rPh>
    <rPh sb="49" eb="51">
      <t>ジッコウ</t>
    </rPh>
    <phoneticPr fontId="3"/>
  </si>
  <si>
    <t>交際費の飲食代・送迎代を適正予算まで抑える</t>
    <rPh sb="0" eb="3">
      <t>コウサイヒ</t>
    </rPh>
    <rPh sb="4" eb="6">
      <t>インショク</t>
    </rPh>
    <rPh sb="6" eb="7">
      <t>ダイ</t>
    </rPh>
    <rPh sb="8" eb="10">
      <t>ソウゲイ</t>
    </rPh>
    <rPh sb="10" eb="11">
      <t>ダイ</t>
    </rPh>
    <rPh sb="12" eb="14">
      <t>テキセイ</t>
    </rPh>
    <rPh sb="14" eb="16">
      <t>ヨサン</t>
    </rPh>
    <rPh sb="18" eb="19">
      <t>オサ</t>
    </rPh>
    <phoneticPr fontId="3"/>
  </si>
  <si>
    <t>車両費</t>
    <phoneticPr fontId="3"/>
  </si>
  <si>
    <t>不動産の賃料</t>
    <phoneticPr fontId="3"/>
  </si>
  <si>
    <t>出社人数や業務実態に適した物件に移転する</t>
  </si>
  <si>
    <t>材料費</t>
    <phoneticPr fontId="3"/>
  </si>
  <si>
    <t>より適正な価格の材料に切り替える</t>
  </si>
  <si>
    <t>入出庫・在庫・棚卸しの管理システムを導入する</t>
    <phoneticPr fontId="3"/>
  </si>
  <si>
    <t>すぐに業者選定。7月棚卸しから削減
システム導入費として500万円の見込み。減価償却費は年100万円</t>
    <rPh sb="3" eb="5">
      <t>ギョウシャ</t>
    </rPh>
    <rPh sb="5" eb="7">
      <t>センテイ</t>
    </rPh>
    <rPh sb="10" eb="12">
      <t>タナオロ</t>
    </rPh>
    <rPh sb="15" eb="17">
      <t>サクゲン</t>
    </rPh>
    <rPh sb="22" eb="24">
      <t>ドウニュウ</t>
    </rPh>
    <rPh sb="24" eb="25">
      <t>ヒ</t>
    </rPh>
    <rPh sb="31" eb="33">
      <t>マンエン</t>
    </rPh>
    <rPh sb="34" eb="36">
      <t>ミコ</t>
    </rPh>
    <rPh sb="38" eb="43">
      <t>ゲンカショウキャクヒ</t>
    </rPh>
    <rPh sb="44" eb="45">
      <t>ネン</t>
    </rPh>
    <rPh sb="48" eb="50">
      <t>マンエン</t>
    </rPh>
    <phoneticPr fontId="3"/>
  </si>
  <si>
    <t>仕入価格の値下げ交渉を行う</t>
    <phoneticPr fontId="3"/>
  </si>
  <si>
    <t>合計</t>
    <rPh sb="0" eb="2">
      <t>ゴウケイ</t>
    </rPh>
    <phoneticPr fontId="3"/>
  </si>
  <si>
    <t>プリンターにはリサイクルトナーを使用する</t>
    <phoneticPr fontId="3"/>
  </si>
  <si>
    <t>5月分から「かけ放題オプション」を解約
すぐに格安SIMの調査開始。6月から導入
最初の2カ月（6月・7月）は2台でテスト→8月以降はすべて（5台）が格安SIM</t>
    <rPh sb="1" eb="2">
      <t>ガツ</t>
    </rPh>
    <rPh sb="2" eb="3">
      <t>ブン</t>
    </rPh>
    <rPh sb="17" eb="19">
      <t>カイヤク</t>
    </rPh>
    <rPh sb="23" eb="25">
      <t>カクヤス</t>
    </rPh>
    <rPh sb="29" eb="31">
      <t>チョウサ</t>
    </rPh>
    <rPh sb="31" eb="33">
      <t>カイシ</t>
    </rPh>
    <rPh sb="35" eb="36">
      <t>ガツ</t>
    </rPh>
    <rPh sb="38" eb="40">
      <t>ドウニュウ</t>
    </rPh>
    <rPh sb="41" eb="43">
      <t>サイショ</t>
    </rPh>
    <rPh sb="46" eb="47">
      <t>ゲツ</t>
    </rPh>
    <rPh sb="49" eb="50">
      <t>ガツ</t>
    </rPh>
    <rPh sb="52" eb="53">
      <t>ガツ</t>
    </rPh>
    <rPh sb="56" eb="57">
      <t>ダイ</t>
    </rPh>
    <rPh sb="63" eb="64">
      <t>ガツ</t>
    </rPh>
    <rPh sb="64" eb="66">
      <t>イコウ</t>
    </rPh>
    <rPh sb="72" eb="73">
      <t>ダイ</t>
    </rPh>
    <rPh sb="75" eb="77">
      <t>カクヤス</t>
    </rPh>
    <phoneticPr fontId="3"/>
  </si>
  <si>
    <t>すぐに業者選定。オフィスと工場で導入
6月分から削減。IP対応電話機代：2万4000円（1万2000円×2台）
導入初年度はコスト増、2年目、3年目にてコスト削減を達成</t>
    <rPh sb="3" eb="5">
      <t>ギョウシャ</t>
    </rPh>
    <rPh sb="5" eb="7">
      <t>センテイ</t>
    </rPh>
    <rPh sb="13" eb="15">
      <t>コウジョウ</t>
    </rPh>
    <rPh sb="16" eb="18">
      <t>ドウニュウ</t>
    </rPh>
    <rPh sb="21" eb="22">
      <t>ブン</t>
    </rPh>
    <rPh sb="29" eb="31">
      <t>タイオウ</t>
    </rPh>
    <rPh sb="31" eb="34">
      <t>デンワキ</t>
    </rPh>
    <rPh sb="34" eb="35">
      <t>ダイ</t>
    </rPh>
    <rPh sb="37" eb="38">
      <t>マン</t>
    </rPh>
    <rPh sb="42" eb="43">
      <t>エン</t>
    </rPh>
    <rPh sb="45" eb="46">
      <t>マン</t>
    </rPh>
    <rPh sb="50" eb="51">
      <t>エン</t>
    </rPh>
    <rPh sb="53" eb="54">
      <t>ダイ</t>
    </rPh>
    <rPh sb="56" eb="58">
      <t>ドウニュウ</t>
    </rPh>
    <rPh sb="58" eb="61">
      <t>ショネンド</t>
    </rPh>
    <rPh sb="65" eb="66">
      <t>ゾウ</t>
    </rPh>
    <rPh sb="68" eb="70">
      <t>ネンメ</t>
    </rPh>
    <rPh sb="72" eb="73">
      <t>ネン</t>
    </rPh>
    <rPh sb="73" eb="74">
      <t>メ</t>
    </rPh>
    <rPh sb="79" eb="81">
      <t>サクゲン</t>
    </rPh>
    <rPh sb="82" eb="84">
      <t>タッセイ</t>
    </rPh>
    <phoneticPr fontId="3"/>
  </si>
  <si>
    <t>接待費の対売上比を0.35%→0.2%、削減目標：接待106万円、贈答44万円
すぐに実行
季節特性（忘年会・年度末など）を予算に考慮する</t>
    <rPh sb="0" eb="3">
      <t>セッタイヒ</t>
    </rPh>
    <rPh sb="4" eb="5">
      <t>タイ</t>
    </rPh>
    <rPh sb="5" eb="7">
      <t>ウリアゲ</t>
    </rPh>
    <rPh sb="7" eb="8">
      <t>ヒ</t>
    </rPh>
    <rPh sb="20" eb="22">
      <t>サクゲン</t>
    </rPh>
    <rPh sb="22" eb="24">
      <t>モクヒョウ</t>
    </rPh>
    <rPh sb="25" eb="27">
      <t>セッタイ</t>
    </rPh>
    <rPh sb="30" eb="32">
      <t>マンエン</t>
    </rPh>
    <rPh sb="33" eb="35">
      <t>ゾウトウ</t>
    </rPh>
    <rPh sb="37" eb="38">
      <t>マン</t>
    </rPh>
    <rPh sb="38" eb="39">
      <t>エン</t>
    </rPh>
    <rPh sb="43" eb="45">
      <t>ジッコウ</t>
    </rPh>
    <rPh sb="46" eb="48">
      <t>キセツ</t>
    </rPh>
    <rPh sb="48" eb="50">
      <t>トクセイ</t>
    </rPh>
    <rPh sb="51" eb="54">
      <t>ボウネンカイ</t>
    </rPh>
    <rPh sb="55" eb="58">
      <t>ネンドマツ</t>
    </rPh>
    <rPh sb="62" eb="64">
      <t>ヨサン</t>
    </rPh>
    <rPh sb="65" eb="67">
      <t>コウリョ</t>
    </rPh>
    <phoneticPr fontId="3"/>
  </si>
  <si>
    <t>4月はエンジンオイル・エレメント交換なし。今年は、車検やバッテリー交換などもなし
5月から乗り換え
購入予定だった車両は、中古、耐用年数3年</t>
    <rPh sb="1" eb="2">
      <t>ガツ</t>
    </rPh>
    <rPh sb="16" eb="18">
      <t>コウカン</t>
    </rPh>
    <rPh sb="21" eb="23">
      <t>コトシ</t>
    </rPh>
    <rPh sb="25" eb="27">
      <t>シャケン</t>
    </rPh>
    <rPh sb="33" eb="35">
      <t>コウカン</t>
    </rPh>
    <rPh sb="42" eb="43">
      <t>ガツ</t>
    </rPh>
    <rPh sb="45" eb="46">
      <t>ノ</t>
    </rPh>
    <rPh sb="47" eb="48">
      <t>カ</t>
    </rPh>
    <rPh sb="50" eb="52">
      <t>コウニュウ</t>
    </rPh>
    <rPh sb="52" eb="54">
      <t>ヨテイ</t>
    </rPh>
    <rPh sb="57" eb="59">
      <t>シャリョウ</t>
    </rPh>
    <phoneticPr fontId="3"/>
  </si>
  <si>
    <t>10月に移転予定（6カ月前の解約予告）
移転諸経費として256万円の見込み（原状復帰120万円、破棄処分費30万円、重複の賃料70万円、移転先の入会事務手数料36万円）</t>
    <rPh sb="2" eb="3">
      <t>ガツ</t>
    </rPh>
    <rPh sb="4" eb="6">
      <t>イテン</t>
    </rPh>
    <rPh sb="6" eb="8">
      <t>ヨテイ</t>
    </rPh>
    <rPh sb="11" eb="12">
      <t>ゲツ</t>
    </rPh>
    <rPh sb="12" eb="13">
      <t>マエ</t>
    </rPh>
    <rPh sb="14" eb="16">
      <t>カイヤク</t>
    </rPh>
    <rPh sb="16" eb="18">
      <t>ヨコク</t>
    </rPh>
    <rPh sb="20" eb="22">
      <t>イテン</t>
    </rPh>
    <rPh sb="22" eb="25">
      <t>ショケイヒ</t>
    </rPh>
    <rPh sb="31" eb="33">
      <t>マンエン</t>
    </rPh>
    <rPh sb="34" eb="36">
      <t>ミコ</t>
    </rPh>
    <rPh sb="38" eb="42">
      <t>ゲンジョウフッキ</t>
    </rPh>
    <rPh sb="45" eb="47">
      <t>マンエン</t>
    </rPh>
    <rPh sb="48" eb="50">
      <t>ハキ</t>
    </rPh>
    <rPh sb="50" eb="53">
      <t>ショブンヒ</t>
    </rPh>
    <rPh sb="55" eb="57">
      <t>マンエン</t>
    </rPh>
    <rPh sb="58" eb="60">
      <t>チョウフク</t>
    </rPh>
    <rPh sb="61" eb="63">
      <t>チンリョウ</t>
    </rPh>
    <rPh sb="65" eb="67">
      <t>マンエン</t>
    </rPh>
    <rPh sb="68" eb="71">
      <t>イテンサキ</t>
    </rPh>
    <rPh sb="72" eb="74">
      <t>ニュウカイ</t>
    </rPh>
    <rPh sb="74" eb="76">
      <t>ジム</t>
    </rPh>
    <rPh sb="76" eb="79">
      <t>テスウリョウ</t>
    </rPh>
    <rPh sb="81" eb="83">
      <t>マンエン</t>
    </rPh>
    <phoneticPr fontId="3"/>
  </si>
  <si>
    <r>
      <t xml:space="preserve">材料の選定と試作を行った上で変更。8月から削減
</t>
    </r>
    <r>
      <rPr>
        <sz val="10"/>
        <rFont val="メイリオ"/>
        <family val="3"/>
        <charset val="128"/>
      </rPr>
      <t>季節による売り上げ変動を予算に考慮する</t>
    </r>
    <rPh sb="0" eb="2">
      <t>ザイリョウ</t>
    </rPh>
    <rPh sb="3" eb="5">
      <t>センテイ</t>
    </rPh>
    <rPh sb="6" eb="8">
      <t>シサク</t>
    </rPh>
    <rPh sb="9" eb="10">
      <t>オコナ</t>
    </rPh>
    <rPh sb="12" eb="13">
      <t>ウエ</t>
    </rPh>
    <rPh sb="14" eb="16">
      <t>ヘンコウ</t>
    </rPh>
    <rPh sb="18" eb="19">
      <t>ガツ</t>
    </rPh>
    <rPh sb="21" eb="23">
      <t>サクゲン</t>
    </rPh>
    <rPh sb="24" eb="26">
      <t>キセツ</t>
    </rPh>
    <rPh sb="29" eb="30">
      <t>ウ</t>
    </rPh>
    <rPh sb="31" eb="32">
      <t>ア</t>
    </rPh>
    <rPh sb="33" eb="35">
      <t>ヘンドウ</t>
    </rPh>
    <rPh sb="36" eb="38">
      <t>ヨサン</t>
    </rPh>
    <rPh sb="39" eb="41">
      <t>コウリョ</t>
    </rPh>
    <phoneticPr fontId="3"/>
  </si>
  <si>
    <t>EC用ギフトボックスの価格交渉（仕入先の変更）
6月分から削減
ギフトボックスの売り上げ変動を予算に考慮する</t>
    <rPh sb="2" eb="3">
      <t>ヨウ</t>
    </rPh>
    <rPh sb="11" eb="13">
      <t>カカク</t>
    </rPh>
    <rPh sb="13" eb="15">
      <t>コウショウ</t>
    </rPh>
    <rPh sb="16" eb="19">
      <t>シイレサキ</t>
    </rPh>
    <rPh sb="20" eb="22">
      <t>ヘンコウ</t>
    </rPh>
    <rPh sb="25" eb="26">
      <t>ガツ</t>
    </rPh>
    <rPh sb="26" eb="27">
      <t>フン</t>
    </rPh>
    <rPh sb="29" eb="31">
      <t>サクゲン</t>
    </rPh>
    <rPh sb="40" eb="41">
      <t>ウ</t>
    </rPh>
    <rPh sb="42" eb="43">
      <t>ア</t>
    </rPh>
    <rPh sb="44" eb="46">
      <t>ヘンドウ</t>
    </rPh>
    <rPh sb="47" eb="49">
      <t>ヨサン</t>
    </rPh>
    <rPh sb="50" eb="52">
      <t>コウリョ</t>
    </rPh>
    <phoneticPr fontId="3"/>
  </si>
  <si>
    <t>カーリースを利用する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</si>
</sst>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0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b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8" fontId="5" fillId="0" borderId="1" xfId="1" applyFont="1" applyBorder="1" applyAlignment="1"/>
    <xf numFmtId="38" fontId="5" fillId="0" borderId="2" xfId="1" applyFont="1" applyBorder="1" applyAlignment="1"/>
    <xf numFmtId="38" fontId="5" fillId="0" borderId="3" xfId="1" applyFont="1" applyFill="1" applyBorder="1" applyAlignment="1"/>
    <xf numFmtId="38" fontId="5" fillId="0" borderId="1" xfId="1" applyFont="1" applyFill="1" applyBorder="1" applyAlignment="1"/>
    <xf numFmtId="0" fontId="5" fillId="0" borderId="0" xfId="0" applyFont="1" applyAlignment="1">
      <alignment horizontal="center"/>
    </xf>
    <xf numFmtId="38" fontId="5" fillId="0" borderId="2" xfId="1" applyFont="1" applyFill="1" applyBorder="1" applyAlignment="1"/>
    <xf numFmtId="38" fontId="6" fillId="0" borderId="1" xfId="1" applyFont="1" applyFill="1" applyBorder="1" applyAlignment="1"/>
    <xf numFmtId="0" fontId="5" fillId="0" borderId="0" xfId="0" applyFont="1"/>
    <xf numFmtId="0" fontId="6" fillId="0" borderId="0" xfId="0" applyFont="1"/>
    <xf numFmtId="38" fontId="6" fillId="0" borderId="1" xfId="1" applyFont="1" applyBorder="1" applyAlignment="1"/>
    <xf numFmtId="38" fontId="6" fillId="0" borderId="2" xfId="1" applyFont="1" applyBorder="1" applyAlignment="1"/>
    <xf numFmtId="38" fontId="7" fillId="0" borderId="1" xfId="1" applyFont="1" applyFill="1" applyBorder="1" applyAlignment="1"/>
    <xf numFmtId="38" fontId="6" fillId="0" borderId="2" xfId="1" applyFont="1" applyFill="1" applyBorder="1" applyAlignment="1"/>
    <xf numFmtId="38" fontId="7" fillId="0" borderId="7" xfId="1" applyFont="1" applyFill="1" applyBorder="1" applyAlignment="1"/>
    <xf numFmtId="38" fontId="5" fillId="0" borderId="7" xfId="1" applyFont="1" applyFill="1" applyBorder="1" applyAlignment="1"/>
    <xf numFmtId="0" fontId="5" fillId="0" borderId="7" xfId="0" applyFont="1" applyBorder="1" applyAlignment="1">
      <alignment horizontal="center"/>
    </xf>
    <xf numFmtId="38" fontId="5" fillId="0" borderId="8" xfId="1" applyFont="1" applyFill="1" applyBorder="1" applyAlignment="1"/>
    <xf numFmtId="38" fontId="5" fillId="0" borderId="9" xfId="1" applyFont="1" applyFill="1" applyBorder="1" applyAlignment="1"/>
    <xf numFmtId="0" fontId="5" fillId="0" borderId="6" xfId="0" applyFont="1" applyBorder="1" applyAlignment="1">
      <alignment horizontal="center"/>
    </xf>
    <xf numFmtId="38" fontId="5" fillId="0" borderId="6" xfId="1" applyFont="1" applyFill="1" applyBorder="1" applyAlignment="1"/>
    <xf numFmtId="38" fontId="5" fillId="0" borderId="11" xfId="1" applyFont="1" applyFill="1" applyBorder="1" applyAlignment="1"/>
    <xf numFmtId="0" fontId="5" fillId="0" borderId="1" xfId="0" applyFont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EB365-9460-4628-AA0F-F3C5D111438B}">
  <sheetPr>
    <pageSetUpPr fitToPage="1"/>
  </sheetPr>
  <dimension ref="A1:T86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9" defaultRowHeight="16.5" x14ac:dyDescent="0.4"/>
  <cols>
    <col min="1" max="1" width="10.625" style="27" customWidth="1"/>
    <col min="2" max="2" width="8.625" style="28" customWidth="1"/>
    <col min="3" max="3" width="45.625" style="29" customWidth="1"/>
    <col min="4" max="4" width="8.625" style="9" customWidth="1"/>
    <col min="5" max="16" width="11.625" style="12" customWidth="1"/>
    <col min="17" max="17" width="11.5" style="12" customWidth="1"/>
    <col min="18" max="18" width="11.25" style="12" hidden="1" customWidth="1"/>
    <col min="19" max="19" width="8.25" style="12" hidden="1" customWidth="1"/>
    <col min="20" max="20" width="70.625" style="30" customWidth="1"/>
    <col min="21" max="16384" width="9" style="12"/>
  </cols>
  <sheetData>
    <row r="1" spans="1:20" s="1" customFormat="1" ht="18.75" customHeight="1" x14ac:dyDescent="0.4">
      <c r="A1" s="68" t="s">
        <v>0</v>
      </c>
      <c r="B1" s="69" t="s">
        <v>1</v>
      </c>
      <c r="C1" s="68" t="s">
        <v>2</v>
      </c>
      <c r="D1" s="68" t="s">
        <v>3</v>
      </c>
      <c r="E1" s="68" t="s">
        <v>4</v>
      </c>
      <c r="F1" s="68"/>
      <c r="G1" s="68"/>
      <c r="H1" s="68"/>
      <c r="I1" s="68"/>
      <c r="J1" s="68"/>
      <c r="K1" s="68"/>
      <c r="L1" s="68"/>
      <c r="M1" s="68"/>
      <c r="N1" s="68"/>
      <c r="O1" s="68"/>
      <c r="P1" s="70"/>
      <c r="Q1" s="71" t="s">
        <v>5</v>
      </c>
      <c r="R1" s="66" t="s">
        <v>6</v>
      </c>
      <c r="S1" s="66" t="s">
        <v>7</v>
      </c>
      <c r="T1" s="68" t="s">
        <v>8</v>
      </c>
    </row>
    <row r="2" spans="1:20" s="1" customFormat="1" x14ac:dyDescent="0.4">
      <c r="A2" s="68"/>
      <c r="B2" s="69"/>
      <c r="C2" s="68"/>
      <c r="D2" s="68"/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3" t="s">
        <v>20</v>
      </c>
      <c r="Q2" s="72"/>
      <c r="R2" s="67"/>
      <c r="S2" s="66"/>
      <c r="T2" s="68"/>
    </row>
    <row r="3" spans="1:20" s="9" customFormat="1" x14ac:dyDescent="0.4">
      <c r="A3" s="32"/>
      <c r="B3" s="35"/>
      <c r="C3" s="36"/>
      <c r="D3" s="4" t="s">
        <v>24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/>
      <c r="Q3" s="7">
        <f>SUM(E3:P3)</f>
        <v>0</v>
      </c>
      <c r="R3" s="8">
        <f>1008000/12*11</f>
        <v>924000</v>
      </c>
      <c r="S3" s="8">
        <f>Q3-R3</f>
        <v>-924000</v>
      </c>
      <c r="T3" s="58"/>
    </row>
    <row r="4" spans="1:20" s="9" customFormat="1" x14ac:dyDescent="0.4">
      <c r="A4" s="32"/>
      <c r="B4" s="35"/>
      <c r="C4" s="36"/>
      <c r="D4" s="4" t="s">
        <v>26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7">
        <f>SUM(E4:P4)</f>
        <v>0</v>
      </c>
      <c r="R4" s="8">
        <f>460800/12*11</f>
        <v>422400</v>
      </c>
      <c r="S4" s="8">
        <f>Q4-R4</f>
        <v>-422400</v>
      </c>
      <c r="T4" s="33"/>
    </row>
    <row r="5" spans="1:20" s="9" customFormat="1" x14ac:dyDescent="0.4">
      <c r="A5" s="32"/>
      <c r="B5" s="35"/>
      <c r="C5" s="36"/>
      <c r="D5" s="4" t="s">
        <v>27</v>
      </c>
      <c r="E5" s="8">
        <f>E4-E3</f>
        <v>0</v>
      </c>
      <c r="F5" s="8">
        <f t="shared" ref="F5:P5" si="0">F4-F3</f>
        <v>0</v>
      </c>
      <c r="G5" s="8">
        <f t="shared" si="0"/>
        <v>0</v>
      </c>
      <c r="H5" s="8">
        <f t="shared" si="0"/>
        <v>0</v>
      </c>
      <c r="I5" s="8">
        <f t="shared" si="0"/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10">
        <f t="shared" si="0"/>
        <v>0</v>
      </c>
      <c r="Q5" s="7">
        <f>SUM(E5:P5)</f>
        <v>0</v>
      </c>
      <c r="R5" s="8"/>
      <c r="S5" s="8"/>
      <c r="T5" s="34"/>
    </row>
    <row r="6" spans="1:20" s="9" customFormat="1" x14ac:dyDescent="0.4">
      <c r="A6" s="32"/>
      <c r="B6" s="35"/>
      <c r="C6" s="36"/>
      <c r="D6" s="4" t="s">
        <v>24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  <c r="Q6" s="7">
        <f>SUM(E6:P6)</f>
        <v>0</v>
      </c>
      <c r="R6" s="8">
        <f>2376000/12*11</f>
        <v>2178000</v>
      </c>
      <c r="S6" s="8">
        <f>Q6-R6</f>
        <v>-2178000</v>
      </c>
      <c r="T6" s="58"/>
    </row>
    <row r="7" spans="1:20" s="9" customFormat="1" x14ac:dyDescent="0.4">
      <c r="A7" s="32"/>
      <c r="B7" s="35"/>
      <c r="C7" s="36"/>
      <c r="D7" s="4" t="s">
        <v>26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6"/>
      <c r="Q7" s="7">
        <f t="shared" ref="Q7:Q50" si="1">SUM(E7:P7)</f>
        <v>0</v>
      </c>
      <c r="R7" s="8">
        <f>2046000/12*11</f>
        <v>1875500</v>
      </c>
      <c r="S7" s="8">
        <f t="shared" ref="S7:S81" si="2">Q7-R7</f>
        <v>-1875500</v>
      </c>
      <c r="T7" s="33"/>
    </row>
    <row r="8" spans="1:20" s="9" customFormat="1" x14ac:dyDescent="0.4">
      <c r="A8" s="32"/>
      <c r="B8" s="35"/>
      <c r="C8" s="36"/>
      <c r="D8" s="4" t="s">
        <v>27</v>
      </c>
      <c r="E8" s="8">
        <f>E7-E6</f>
        <v>0</v>
      </c>
      <c r="F8" s="8">
        <f t="shared" ref="F8:P8" si="3">F7-F6</f>
        <v>0</v>
      </c>
      <c r="G8" s="8">
        <f t="shared" si="3"/>
        <v>0</v>
      </c>
      <c r="H8" s="8">
        <f t="shared" si="3"/>
        <v>0</v>
      </c>
      <c r="I8" s="8">
        <f t="shared" si="3"/>
        <v>0</v>
      </c>
      <c r="J8" s="8">
        <f t="shared" si="3"/>
        <v>0</v>
      </c>
      <c r="K8" s="8">
        <f t="shared" si="3"/>
        <v>0</v>
      </c>
      <c r="L8" s="8">
        <f t="shared" si="3"/>
        <v>0</v>
      </c>
      <c r="M8" s="8">
        <f t="shared" si="3"/>
        <v>0</v>
      </c>
      <c r="N8" s="8">
        <f t="shared" si="3"/>
        <v>0</v>
      </c>
      <c r="O8" s="8">
        <f t="shared" si="3"/>
        <v>0</v>
      </c>
      <c r="P8" s="10">
        <f t="shared" si="3"/>
        <v>0</v>
      </c>
      <c r="Q8" s="7">
        <f t="shared" si="1"/>
        <v>0</v>
      </c>
      <c r="R8" s="8"/>
      <c r="S8" s="8"/>
      <c r="T8" s="34"/>
    </row>
    <row r="9" spans="1:20" s="9" customFormat="1" x14ac:dyDescent="0.4">
      <c r="A9" s="32"/>
      <c r="B9" s="35"/>
      <c r="C9" s="36"/>
      <c r="D9" s="4" t="s">
        <v>24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  <c r="Q9" s="7">
        <f t="shared" si="1"/>
        <v>0</v>
      </c>
      <c r="R9" s="8">
        <f>74000/12*11</f>
        <v>67833.333333333343</v>
      </c>
      <c r="S9" s="8">
        <f t="shared" si="2"/>
        <v>-67833.333333333343</v>
      </c>
      <c r="T9" s="58"/>
    </row>
    <row r="10" spans="1:20" s="9" customFormat="1" x14ac:dyDescent="0.4">
      <c r="A10" s="32"/>
      <c r="B10" s="35"/>
      <c r="C10" s="36"/>
      <c r="D10" s="4" t="s">
        <v>26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  <c r="Q10" s="7">
        <f t="shared" si="1"/>
        <v>0</v>
      </c>
      <c r="R10" s="8">
        <f>36000/12*11</f>
        <v>33000</v>
      </c>
      <c r="S10" s="8">
        <f t="shared" si="2"/>
        <v>-33000</v>
      </c>
      <c r="T10" s="33"/>
    </row>
    <row r="11" spans="1:20" s="9" customFormat="1" x14ac:dyDescent="0.4">
      <c r="A11" s="32"/>
      <c r="B11" s="35"/>
      <c r="C11" s="36"/>
      <c r="D11" s="4" t="s">
        <v>27</v>
      </c>
      <c r="E11" s="8">
        <f>E10-E9</f>
        <v>0</v>
      </c>
      <c r="F11" s="8">
        <f t="shared" ref="F11:P11" si="4">F10-F9</f>
        <v>0</v>
      </c>
      <c r="G11" s="8">
        <f t="shared" si="4"/>
        <v>0</v>
      </c>
      <c r="H11" s="8">
        <f t="shared" si="4"/>
        <v>0</v>
      </c>
      <c r="I11" s="8">
        <f t="shared" si="4"/>
        <v>0</v>
      </c>
      <c r="J11" s="8">
        <f t="shared" si="4"/>
        <v>0</v>
      </c>
      <c r="K11" s="8">
        <f t="shared" si="4"/>
        <v>0</v>
      </c>
      <c r="L11" s="8">
        <f t="shared" si="4"/>
        <v>0</v>
      </c>
      <c r="M11" s="8">
        <f t="shared" si="4"/>
        <v>0</v>
      </c>
      <c r="N11" s="8">
        <f t="shared" si="4"/>
        <v>0</v>
      </c>
      <c r="O11" s="8">
        <f t="shared" si="4"/>
        <v>0</v>
      </c>
      <c r="P11" s="10">
        <f t="shared" si="4"/>
        <v>0</v>
      </c>
      <c r="Q11" s="7">
        <f t="shared" si="1"/>
        <v>0</v>
      </c>
      <c r="R11" s="8"/>
      <c r="S11" s="8"/>
      <c r="T11" s="34"/>
    </row>
    <row r="12" spans="1:20" x14ac:dyDescent="0.4">
      <c r="A12" s="32"/>
      <c r="B12" s="35"/>
      <c r="C12" s="36"/>
      <c r="D12" s="4" t="s">
        <v>24</v>
      </c>
      <c r="E12" s="5"/>
      <c r="F12" s="11"/>
      <c r="G12" s="5"/>
      <c r="H12" s="11"/>
      <c r="I12" s="5"/>
      <c r="J12" s="11"/>
      <c r="K12" s="5"/>
      <c r="L12" s="11"/>
      <c r="M12" s="5"/>
      <c r="N12" s="8"/>
      <c r="O12" s="5"/>
      <c r="P12" s="10"/>
      <c r="Q12" s="7">
        <f t="shared" si="1"/>
        <v>0</v>
      </c>
      <c r="R12" s="8">
        <f>409800</f>
        <v>409800</v>
      </c>
      <c r="S12" s="8">
        <f t="shared" si="2"/>
        <v>-409800</v>
      </c>
      <c r="T12" s="42"/>
    </row>
    <row r="13" spans="1:20" x14ac:dyDescent="0.4">
      <c r="A13" s="32"/>
      <c r="B13" s="35"/>
      <c r="C13" s="36"/>
      <c r="D13" s="4" t="s">
        <v>26</v>
      </c>
      <c r="E13" s="5"/>
      <c r="F13" s="8"/>
      <c r="G13" s="5"/>
      <c r="H13" s="8"/>
      <c r="I13" s="5"/>
      <c r="J13" s="8"/>
      <c r="K13" s="5"/>
      <c r="L13" s="8"/>
      <c r="M13" s="5"/>
      <c r="N13" s="8"/>
      <c r="O13" s="5"/>
      <c r="P13" s="10"/>
      <c r="Q13" s="7">
        <f t="shared" si="1"/>
        <v>0</v>
      </c>
      <c r="R13" s="8">
        <f>230880</f>
        <v>230880</v>
      </c>
      <c r="S13" s="8">
        <f t="shared" si="2"/>
        <v>-230880</v>
      </c>
      <c r="T13" s="33"/>
    </row>
    <row r="14" spans="1:20" x14ac:dyDescent="0.4">
      <c r="A14" s="32"/>
      <c r="B14" s="35"/>
      <c r="C14" s="36"/>
      <c r="D14" s="4" t="s">
        <v>27</v>
      </c>
      <c r="E14" s="8">
        <f>E13-E12</f>
        <v>0</v>
      </c>
      <c r="F14" s="8">
        <f t="shared" ref="F14:K14" si="5">F13-F12</f>
        <v>0</v>
      </c>
      <c r="G14" s="8">
        <f t="shared" si="5"/>
        <v>0</v>
      </c>
      <c r="H14" s="8">
        <f t="shared" si="5"/>
        <v>0</v>
      </c>
      <c r="I14" s="8">
        <f t="shared" si="5"/>
        <v>0</v>
      </c>
      <c r="J14" s="8">
        <f t="shared" si="5"/>
        <v>0</v>
      </c>
      <c r="K14" s="8">
        <f t="shared" si="5"/>
        <v>0</v>
      </c>
      <c r="L14" s="8">
        <f>L13-L12</f>
        <v>0</v>
      </c>
      <c r="M14" s="8">
        <f t="shared" ref="M14:P14" si="6">M13-M12</f>
        <v>0</v>
      </c>
      <c r="N14" s="8">
        <f t="shared" si="6"/>
        <v>0</v>
      </c>
      <c r="O14" s="8">
        <f t="shared" si="6"/>
        <v>0</v>
      </c>
      <c r="P14" s="10">
        <f t="shared" si="6"/>
        <v>0</v>
      </c>
      <c r="Q14" s="7">
        <f t="shared" si="1"/>
        <v>0</v>
      </c>
      <c r="R14" s="8"/>
      <c r="S14" s="8"/>
      <c r="T14" s="34"/>
    </row>
    <row r="15" spans="1:20" x14ac:dyDescent="0.4">
      <c r="A15" s="32"/>
      <c r="B15" s="35"/>
      <c r="C15" s="36"/>
      <c r="D15" s="4" t="s">
        <v>24</v>
      </c>
      <c r="E15" s="8"/>
      <c r="F15" s="8"/>
      <c r="G15" s="8"/>
      <c r="H15" s="8"/>
      <c r="I15" s="8"/>
      <c r="J15" s="5"/>
      <c r="K15" s="8"/>
      <c r="L15" s="8"/>
      <c r="M15" s="8"/>
      <c r="N15" s="8"/>
      <c r="O15" s="8"/>
      <c r="P15" s="10"/>
      <c r="Q15" s="7">
        <f t="shared" si="1"/>
        <v>0</v>
      </c>
      <c r="R15" s="8">
        <f>168000</f>
        <v>168000</v>
      </c>
      <c r="S15" s="8">
        <f t="shared" si="2"/>
        <v>-168000</v>
      </c>
      <c r="T15" s="58"/>
    </row>
    <row r="16" spans="1:20" x14ac:dyDescent="0.4">
      <c r="A16" s="32"/>
      <c r="B16" s="35"/>
      <c r="C16" s="36"/>
      <c r="D16" s="4" t="s">
        <v>26</v>
      </c>
      <c r="E16" s="8"/>
      <c r="F16" s="8"/>
      <c r="G16" s="8"/>
      <c r="H16" s="8"/>
      <c r="I16" s="8"/>
      <c r="J16" s="5"/>
      <c r="K16" s="8"/>
      <c r="L16" s="8"/>
      <c r="M16" s="8"/>
      <c r="N16" s="8"/>
      <c r="O16" s="8"/>
      <c r="P16" s="10"/>
      <c r="Q16" s="7">
        <f t="shared" si="1"/>
        <v>0</v>
      </c>
      <c r="R16" s="8">
        <f>74000</f>
        <v>74000</v>
      </c>
      <c r="S16" s="8">
        <f t="shared" si="2"/>
        <v>-74000</v>
      </c>
      <c r="T16" s="33"/>
    </row>
    <row r="17" spans="1:20" x14ac:dyDescent="0.4">
      <c r="A17" s="32"/>
      <c r="B17" s="35"/>
      <c r="C17" s="36"/>
      <c r="D17" s="4" t="s">
        <v>27</v>
      </c>
      <c r="E17" s="8">
        <f>E16-E15</f>
        <v>0</v>
      </c>
      <c r="F17" s="8">
        <f t="shared" ref="F17:G17" si="7">F16-F15</f>
        <v>0</v>
      </c>
      <c r="G17" s="8">
        <f t="shared" si="7"/>
        <v>0</v>
      </c>
      <c r="H17" s="8">
        <f>H16-H15</f>
        <v>0</v>
      </c>
      <c r="I17" s="8">
        <f t="shared" ref="I17:P17" si="8">I16-I15</f>
        <v>0</v>
      </c>
      <c r="J17" s="8">
        <f t="shared" si="8"/>
        <v>0</v>
      </c>
      <c r="K17" s="8">
        <f t="shared" si="8"/>
        <v>0</v>
      </c>
      <c r="L17" s="8">
        <f t="shared" si="8"/>
        <v>0</v>
      </c>
      <c r="M17" s="8">
        <f t="shared" si="8"/>
        <v>0</v>
      </c>
      <c r="N17" s="8">
        <f t="shared" si="8"/>
        <v>0</v>
      </c>
      <c r="O17" s="8">
        <f t="shared" si="8"/>
        <v>0</v>
      </c>
      <c r="P17" s="10">
        <f t="shared" si="8"/>
        <v>0</v>
      </c>
      <c r="Q17" s="7">
        <f t="shared" si="1"/>
        <v>0</v>
      </c>
      <c r="R17" s="8"/>
      <c r="S17" s="8"/>
      <c r="T17" s="34"/>
    </row>
    <row r="18" spans="1:20" s="13" customFormat="1" x14ac:dyDescent="0.4">
      <c r="A18" s="32"/>
      <c r="B18" s="35"/>
      <c r="C18" s="65"/>
      <c r="D18" s="4" t="s">
        <v>24</v>
      </c>
      <c r="E18" s="8"/>
      <c r="F18" s="5"/>
      <c r="G18" s="8"/>
      <c r="H18" s="8"/>
      <c r="I18" s="8"/>
      <c r="J18" s="8"/>
      <c r="K18" s="8"/>
      <c r="L18" s="11"/>
      <c r="M18" s="8"/>
      <c r="N18" s="8"/>
      <c r="O18" s="8"/>
      <c r="P18" s="10"/>
      <c r="Q18" s="7">
        <f t="shared" si="1"/>
        <v>0</v>
      </c>
      <c r="R18" s="8">
        <v>34000</v>
      </c>
      <c r="S18" s="8">
        <f t="shared" si="2"/>
        <v>-34000</v>
      </c>
      <c r="T18" s="62"/>
    </row>
    <row r="19" spans="1:20" s="13" customFormat="1" x14ac:dyDescent="0.4">
      <c r="A19" s="32"/>
      <c r="B19" s="35"/>
      <c r="C19" s="65"/>
      <c r="D19" s="4" t="s">
        <v>26</v>
      </c>
      <c r="E19" s="8"/>
      <c r="F19" s="11"/>
      <c r="G19" s="8"/>
      <c r="H19" s="8"/>
      <c r="I19" s="8"/>
      <c r="J19" s="8"/>
      <c r="K19" s="8"/>
      <c r="L19" s="11"/>
      <c r="M19" s="8"/>
      <c r="N19" s="8"/>
      <c r="O19" s="8"/>
      <c r="P19" s="10"/>
      <c r="Q19" s="7">
        <f t="shared" si="1"/>
        <v>0</v>
      </c>
      <c r="R19" s="8">
        <v>25200</v>
      </c>
      <c r="S19" s="8">
        <f t="shared" si="2"/>
        <v>-25200</v>
      </c>
      <c r="T19" s="63"/>
    </row>
    <row r="20" spans="1:20" s="13" customFormat="1" x14ac:dyDescent="0.4">
      <c r="A20" s="32"/>
      <c r="B20" s="35"/>
      <c r="C20" s="65"/>
      <c r="D20" s="4" t="s">
        <v>27</v>
      </c>
      <c r="E20" s="8">
        <f>E19-E18</f>
        <v>0</v>
      </c>
      <c r="F20" s="8">
        <f t="shared" ref="F20:P20" si="9">F19-F18</f>
        <v>0</v>
      </c>
      <c r="G20" s="8">
        <f t="shared" si="9"/>
        <v>0</v>
      </c>
      <c r="H20" s="8"/>
      <c r="I20" s="8">
        <f t="shared" si="9"/>
        <v>0</v>
      </c>
      <c r="J20" s="8">
        <f t="shared" si="9"/>
        <v>0</v>
      </c>
      <c r="K20" s="8">
        <f t="shared" si="9"/>
        <v>0</v>
      </c>
      <c r="L20" s="8">
        <f t="shared" si="9"/>
        <v>0</v>
      </c>
      <c r="M20" s="8">
        <f t="shared" si="9"/>
        <v>0</v>
      </c>
      <c r="N20" s="8">
        <f t="shared" si="9"/>
        <v>0</v>
      </c>
      <c r="O20" s="8">
        <f t="shared" si="9"/>
        <v>0</v>
      </c>
      <c r="P20" s="10">
        <f t="shared" si="9"/>
        <v>0</v>
      </c>
      <c r="Q20" s="7">
        <f t="shared" si="1"/>
        <v>0</v>
      </c>
      <c r="R20" s="8"/>
      <c r="S20" s="8"/>
      <c r="T20" s="64"/>
    </row>
    <row r="21" spans="1:20" s="13" customFormat="1" x14ac:dyDescent="0.4">
      <c r="A21" s="44"/>
      <c r="B21" s="46"/>
      <c r="C21" s="55"/>
      <c r="D21" s="4" t="s">
        <v>24</v>
      </c>
      <c r="E21" s="8"/>
      <c r="F21" s="5"/>
      <c r="G21" s="8"/>
      <c r="H21" s="5"/>
      <c r="I21" s="8"/>
      <c r="J21" s="5"/>
      <c r="K21" s="8"/>
      <c r="L21" s="5"/>
      <c r="M21" s="8"/>
      <c r="N21" s="5"/>
      <c r="O21" s="8"/>
      <c r="P21" s="6"/>
      <c r="Q21" s="7">
        <f t="shared" si="1"/>
        <v>0</v>
      </c>
      <c r="R21" s="8">
        <v>409800</v>
      </c>
      <c r="S21" s="8">
        <f t="shared" si="2"/>
        <v>-409800</v>
      </c>
      <c r="T21" s="58"/>
    </row>
    <row r="22" spans="1:20" s="13" customFormat="1" x14ac:dyDescent="0.4">
      <c r="A22" s="45"/>
      <c r="B22" s="47"/>
      <c r="C22" s="56"/>
      <c r="D22" s="4" t="s">
        <v>26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0"/>
      <c r="Q22" s="7">
        <f t="shared" si="1"/>
        <v>0</v>
      </c>
      <c r="R22" s="8">
        <v>0</v>
      </c>
      <c r="S22" s="8">
        <f t="shared" si="2"/>
        <v>0</v>
      </c>
      <c r="T22" s="33"/>
    </row>
    <row r="23" spans="1:20" s="13" customFormat="1" x14ac:dyDescent="0.4">
      <c r="A23" s="31"/>
      <c r="B23" s="48"/>
      <c r="C23" s="57"/>
      <c r="D23" s="4" t="s">
        <v>27</v>
      </c>
      <c r="E23" s="8">
        <f>E22-E21</f>
        <v>0</v>
      </c>
      <c r="F23" s="8">
        <f t="shared" ref="F23:P23" si="10">F22-F21</f>
        <v>0</v>
      </c>
      <c r="G23" s="8">
        <f t="shared" si="10"/>
        <v>0</v>
      </c>
      <c r="H23" s="8">
        <f t="shared" si="10"/>
        <v>0</v>
      </c>
      <c r="I23" s="8">
        <f t="shared" si="10"/>
        <v>0</v>
      </c>
      <c r="J23" s="8">
        <f t="shared" si="10"/>
        <v>0</v>
      </c>
      <c r="K23" s="8">
        <f t="shared" si="10"/>
        <v>0</v>
      </c>
      <c r="L23" s="8">
        <f t="shared" si="10"/>
        <v>0</v>
      </c>
      <c r="M23" s="8">
        <f t="shared" si="10"/>
        <v>0</v>
      </c>
      <c r="N23" s="8">
        <f t="shared" si="10"/>
        <v>0</v>
      </c>
      <c r="O23" s="8">
        <f t="shared" si="10"/>
        <v>0</v>
      </c>
      <c r="P23" s="10">
        <f t="shared" si="10"/>
        <v>0</v>
      </c>
      <c r="Q23" s="7">
        <f t="shared" si="1"/>
        <v>0</v>
      </c>
      <c r="R23" s="8"/>
      <c r="S23" s="8"/>
      <c r="T23" s="34"/>
    </row>
    <row r="24" spans="1:20" x14ac:dyDescent="0.4">
      <c r="A24" s="44"/>
      <c r="B24" s="46"/>
      <c r="C24" s="49"/>
      <c r="D24" s="4" t="s">
        <v>24</v>
      </c>
      <c r="E24" s="5"/>
      <c r="F24" s="8"/>
      <c r="G24" s="8"/>
      <c r="H24" s="8"/>
      <c r="I24" s="8"/>
      <c r="J24" s="8"/>
      <c r="K24" s="8"/>
      <c r="L24" s="8"/>
      <c r="M24" s="8"/>
      <c r="N24" s="8"/>
      <c r="O24" s="8"/>
      <c r="P24" s="10"/>
      <c r="Q24" s="7">
        <f t="shared" si="1"/>
        <v>0</v>
      </c>
      <c r="R24" s="8">
        <v>216000</v>
      </c>
      <c r="S24" s="8">
        <f t="shared" si="2"/>
        <v>-216000</v>
      </c>
      <c r="T24" s="58"/>
    </row>
    <row r="25" spans="1:20" x14ac:dyDescent="0.4">
      <c r="A25" s="45"/>
      <c r="B25" s="47"/>
      <c r="C25" s="50"/>
      <c r="D25" s="4" t="s">
        <v>26</v>
      </c>
      <c r="E25" s="5"/>
      <c r="F25" s="8"/>
      <c r="G25" s="8"/>
      <c r="H25" s="8"/>
      <c r="I25" s="8"/>
      <c r="J25" s="8"/>
      <c r="K25" s="8"/>
      <c r="L25" s="8"/>
      <c r="M25" s="8"/>
      <c r="N25" s="8"/>
      <c r="O25" s="8"/>
      <c r="P25" s="10"/>
      <c r="Q25" s="7">
        <f t="shared" si="1"/>
        <v>0</v>
      </c>
      <c r="R25" s="8">
        <v>75000</v>
      </c>
      <c r="S25" s="8">
        <f t="shared" si="2"/>
        <v>-75000</v>
      </c>
      <c r="T25" s="33"/>
    </row>
    <row r="26" spans="1:20" x14ac:dyDescent="0.4">
      <c r="A26" s="31"/>
      <c r="B26" s="48"/>
      <c r="C26" s="51"/>
      <c r="D26" s="4" t="s">
        <v>27</v>
      </c>
      <c r="E26" s="8">
        <f>E25-E24</f>
        <v>0</v>
      </c>
      <c r="F26" s="8">
        <f t="shared" ref="F26:P26" si="11">F25-F24</f>
        <v>0</v>
      </c>
      <c r="G26" s="8">
        <f t="shared" si="11"/>
        <v>0</v>
      </c>
      <c r="H26" s="8">
        <f t="shared" si="11"/>
        <v>0</v>
      </c>
      <c r="I26" s="8">
        <f t="shared" si="11"/>
        <v>0</v>
      </c>
      <c r="J26" s="8">
        <f t="shared" si="11"/>
        <v>0</v>
      </c>
      <c r="K26" s="8">
        <f t="shared" si="11"/>
        <v>0</v>
      </c>
      <c r="L26" s="8">
        <f t="shared" si="11"/>
        <v>0</v>
      </c>
      <c r="M26" s="8">
        <f t="shared" si="11"/>
        <v>0</v>
      </c>
      <c r="N26" s="8">
        <f t="shared" si="11"/>
        <v>0</v>
      </c>
      <c r="O26" s="8">
        <f t="shared" si="11"/>
        <v>0</v>
      </c>
      <c r="P26" s="10">
        <f t="shared" si="11"/>
        <v>0</v>
      </c>
      <c r="Q26" s="7">
        <f t="shared" si="1"/>
        <v>0</v>
      </c>
      <c r="R26" s="8"/>
      <c r="S26" s="8"/>
      <c r="T26" s="34"/>
    </row>
    <row r="27" spans="1:20" x14ac:dyDescent="0.4">
      <c r="A27" s="44"/>
      <c r="B27" s="46"/>
      <c r="C27" s="49"/>
      <c r="D27" s="4" t="s">
        <v>24</v>
      </c>
      <c r="E27" s="8"/>
      <c r="F27" s="5"/>
      <c r="G27" s="8"/>
      <c r="H27" s="8"/>
      <c r="I27" s="5"/>
      <c r="J27" s="8"/>
      <c r="K27" s="8"/>
      <c r="L27" s="5"/>
      <c r="M27" s="8"/>
      <c r="N27" s="8"/>
      <c r="O27" s="5"/>
      <c r="P27" s="10"/>
      <c r="Q27" s="7">
        <f t="shared" si="1"/>
        <v>0</v>
      </c>
      <c r="R27" s="8">
        <v>21760</v>
      </c>
      <c r="S27" s="8">
        <f t="shared" si="2"/>
        <v>-21760</v>
      </c>
      <c r="T27" s="42"/>
    </row>
    <row r="28" spans="1:20" x14ac:dyDescent="0.4">
      <c r="A28" s="45"/>
      <c r="B28" s="47"/>
      <c r="C28" s="50"/>
      <c r="D28" s="4" t="s">
        <v>26</v>
      </c>
      <c r="E28" s="8"/>
      <c r="F28" s="5"/>
      <c r="G28" s="8"/>
      <c r="H28" s="8"/>
      <c r="I28" s="5"/>
      <c r="J28" s="8"/>
      <c r="K28" s="8"/>
      <c r="L28" s="5"/>
      <c r="M28" s="8"/>
      <c r="N28" s="8"/>
      <c r="O28" s="5"/>
      <c r="P28" s="10"/>
      <c r="Q28" s="7">
        <f t="shared" si="1"/>
        <v>0</v>
      </c>
      <c r="R28" s="8">
        <v>10240</v>
      </c>
      <c r="S28" s="8">
        <f t="shared" si="2"/>
        <v>-10240</v>
      </c>
      <c r="T28" s="33"/>
    </row>
    <row r="29" spans="1:20" x14ac:dyDescent="0.4">
      <c r="A29" s="31"/>
      <c r="B29" s="48"/>
      <c r="C29" s="51"/>
      <c r="D29" s="4" t="s">
        <v>27</v>
      </c>
      <c r="E29" s="8">
        <f>E28-E27</f>
        <v>0</v>
      </c>
      <c r="F29" s="8">
        <f t="shared" ref="F29:P29" si="12">F28-F27</f>
        <v>0</v>
      </c>
      <c r="G29" s="8">
        <f t="shared" si="12"/>
        <v>0</v>
      </c>
      <c r="H29" s="8">
        <f t="shared" si="12"/>
        <v>0</v>
      </c>
      <c r="I29" s="8">
        <f t="shared" si="12"/>
        <v>0</v>
      </c>
      <c r="J29" s="8">
        <f t="shared" si="12"/>
        <v>0</v>
      </c>
      <c r="K29" s="8">
        <f t="shared" si="12"/>
        <v>0</v>
      </c>
      <c r="L29" s="8">
        <f t="shared" si="12"/>
        <v>0</v>
      </c>
      <c r="M29" s="8">
        <f t="shared" si="12"/>
        <v>0</v>
      </c>
      <c r="N29" s="8">
        <f t="shared" si="12"/>
        <v>0</v>
      </c>
      <c r="O29" s="8">
        <f t="shared" si="12"/>
        <v>0</v>
      </c>
      <c r="P29" s="10">
        <f t="shared" si="12"/>
        <v>0</v>
      </c>
      <c r="Q29" s="7">
        <f t="shared" si="1"/>
        <v>0</v>
      </c>
      <c r="R29" s="8"/>
      <c r="S29" s="8"/>
      <c r="T29" s="34"/>
    </row>
    <row r="30" spans="1:20" s="13" customFormat="1" x14ac:dyDescent="0.4">
      <c r="A30" s="44"/>
      <c r="B30" s="46"/>
      <c r="C30" s="55"/>
      <c r="D30" s="4" t="s">
        <v>24</v>
      </c>
      <c r="E30" s="8"/>
      <c r="F30" s="8"/>
      <c r="G30" s="5"/>
      <c r="H30" s="5"/>
      <c r="I30" s="5"/>
      <c r="J30" s="5"/>
      <c r="K30" s="5"/>
      <c r="L30" s="5"/>
      <c r="M30" s="5"/>
      <c r="N30" s="5"/>
      <c r="O30" s="5"/>
      <c r="P30" s="6"/>
      <c r="Q30" s="7">
        <f>SUM(E30:P30)</f>
        <v>0</v>
      </c>
      <c r="R30" s="8">
        <v>86400</v>
      </c>
      <c r="S30" s="8">
        <f>Q30-R30</f>
        <v>-86400</v>
      </c>
      <c r="T30" s="62"/>
    </row>
    <row r="31" spans="1:20" s="13" customFormat="1" x14ac:dyDescent="0.4">
      <c r="A31" s="45"/>
      <c r="B31" s="47"/>
      <c r="C31" s="56"/>
      <c r="D31" s="4" t="s">
        <v>26</v>
      </c>
      <c r="E31" s="8"/>
      <c r="F31" s="8"/>
      <c r="G31" s="5"/>
      <c r="H31" s="5"/>
      <c r="I31" s="5"/>
      <c r="J31" s="5"/>
      <c r="K31" s="5"/>
      <c r="L31" s="5"/>
      <c r="M31" s="5"/>
      <c r="N31" s="5"/>
      <c r="O31" s="5"/>
      <c r="P31" s="6"/>
      <c r="Q31" s="7">
        <f>SUM(E31:P31)</f>
        <v>0</v>
      </c>
      <c r="R31" s="8">
        <v>76608</v>
      </c>
      <c r="S31" s="8">
        <f>Q31-R31</f>
        <v>-76608</v>
      </c>
      <c r="T31" s="63"/>
    </row>
    <row r="32" spans="1:20" s="13" customFormat="1" x14ac:dyDescent="0.4">
      <c r="A32" s="31"/>
      <c r="B32" s="48"/>
      <c r="C32" s="57"/>
      <c r="D32" s="4" t="s">
        <v>27</v>
      </c>
      <c r="E32" s="8">
        <f>E31-E30</f>
        <v>0</v>
      </c>
      <c r="F32" s="8">
        <f t="shared" ref="F32:P32" si="13">F31-F30</f>
        <v>0</v>
      </c>
      <c r="G32" s="8">
        <f t="shared" si="13"/>
        <v>0</v>
      </c>
      <c r="H32" s="8">
        <f t="shared" si="13"/>
        <v>0</v>
      </c>
      <c r="I32" s="8">
        <f t="shared" si="13"/>
        <v>0</v>
      </c>
      <c r="J32" s="8">
        <f t="shared" si="13"/>
        <v>0</v>
      </c>
      <c r="K32" s="8">
        <f t="shared" si="13"/>
        <v>0</v>
      </c>
      <c r="L32" s="8">
        <f t="shared" si="13"/>
        <v>0</v>
      </c>
      <c r="M32" s="8">
        <f t="shared" si="13"/>
        <v>0</v>
      </c>
      <c r="N32" s="8">
        <f t="shared" si="13"/>
        <v>0</v>
      </c>
      <c r="O32" s="8">
        <f t="shared" si="13"/>
        <v>0</v>
      </c>
      <c r="P32" s="10">
        <f t="shared" si="13"/>
        <v>0</v>
      </c>
      <c r="Q32" s="7">
        <f>SUM(E32:P32)</f>
        <v>0</v>
      </c>
      <c r="R32" s="8"/>
      <c r="S32" s="8"/>
      <c r="T32" s="64"/>
    </row>
    <row r="33" spans="1:20" x14ac:dyDescent="0.4">
      <c r="A33" s="44"/>
      <c r="B33" s="46"/>
      <c r="C33" s="49"/>
      <c r="D33" s="4" t="s">
        <v>24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6"/>
      <c r="Q33" s="7">
        <f t="shared" si="1"/>
        <v>0</v>
      </c>
      <c r="R33" s="8">
        <f>45000000/12*9</f>
        <v>33750000</v>
      </c>
      <c r="S33" s="8">
        <f t="shared" si="2"/>
        <v>-33750000</v>
      </c>
      <c r="T33" s="58"/>
    </row>
    <row r="34" spans="1:20" x14ac:dyDescent="0.4">
      <c r="A34" s="45"/>
      <c r="B34" s="47"/>
      <c r="C34" s="50"/>
      <c r="D34" s="4" t="s">
        <v>26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6"/>
      <c r="Q34" s="7">
        <f t="shared" si="1"/>
        <v>0</v>
      </c>
      <c r="R34" s="8">
        <f>40500000/12*9</f>
        <v>30375000</v>
      </c>
      <c r="S34" s="8">
        <f t="shared" si="2"/>
        <v>-30375000</v>
      </c>
      <c r="T34" s="33"/>
    </row>
    <row r="35" spans="1:20" x14ac:dyDescent="0.4">
      <c r="A35" s="31"/>
      <c r="B35" s="48"/>
      <c r="C35" s="51"/>
      <c r="D35" s="4" t="s">
        <v>27</v>
      </c>
      <c r="E35" s="8">
        <f>E34-E33</f>
        <v>0</v>
      </c>
      <c r="F35" s="8">
        <f t="shared" ref="F35:P35" si="14">F34-F33</f>
        <v>0</v>
      </c>
      <c r="G35" s="8">
        <f t="shared" si="14"/>
        <v>0</v>
      </c>
      <c r="H35" s="8">
        <f t="shared" si="14"/>
        <v>0</v>
      </c>
      <c r="I35" s="8">
        <f t="shared" si="14"/>
        <v>0</v>
      </c>
      <c r="J35" s="8">
        <f t="shared" si="14"/>
        <v>0</v>
      </c>
      <c r="K35" s="8">
        <f t="shared" si="14"/>
        <v>0</v>
      </c>
      <c r="L35" s="8">
        <f t="shared" si="14"/>
        <v>0</v>
      </c>
      <c r="M35" s="8">
        <f t="shared" si="14"/>
        <v>0</v>
      </c>
      <c r="N35" s="8">
        <f t="shared" si="14"/>
        <v>0</v>
      </c>
      <c r="O35" s="8">
        <f t="shared" si="14"/>
        <v>0</v>
      </c>
      <c r="P35" s="10">
        <f t="shared" si="14"/>
        <v>0</v>
      </c>
      <c r="Q35" s="7">
        <f t="shared" si="1"/>
        <v>0</v>
      </c>
      <c r="R35" s="8"/>
      <c r="S35" s="8"/>
      <c r="T35" s="34"/>
    </row>
    <row r="36" spans="1:20" x14ac:dyDescent="0.4">
      <c r="A36" s="44"/>
      <c r="B36" s="46"/>
      <c r="C36" s="49"/>
      <c r="D36" s="4" t="s">
        <v>24</v>
      </c>
      <c r="E36" s="8"/>
      <c r="F36" s="14"/>
      <c r="G36" s="11"/>
      <c r="H36" s="14"/>
      <c r="I36" s="8"/>
      <c r="J36" s="14"/>
      <c r="K36" s="8"/>
      <c r="L36" s="14"/>
      <c r="M36" s="8"/>
      <c r="N36" s="14"/>
      <c r="O36" s="8"/>
      <c r="P36" s="14"/>
      <c r="Q36" s="7">
        <f t="shared" si="1"/>
        <v>0</v>
      </c>
      <c r="R36" s="16">
        <f>5396640/12*11</f>
        <v>4946920</v>
      </c>
      <c r="S36" s="8">
        <f t="shared" si="2"/>
        <v>-4946920</v>
      </c>
      <c r="T36" s="58"/>
    </row>
    <row r="37" spans="1:20" x14ac:dyDescent="0.4">
      <c r="A37" s="45"/>
      <c r="B37" s="47"/>
      <c r="C37" s="50"/>
      <c r="D37" s="4" t="s">
        <v>26</v>
      </c>
      <c r="E37" s="8"/>
      <c r="F37" s="14"/>
      <c r="G37" s="8"/>
      <c r="H37" s="14"/>
      <c r="I37" s="8"/>
      <c r="J37" s="14"/>
      <c r="K37" s="8"/>
      <c r="L37" s="14"/>
      <c r="M37" s="8"/>
      <c r="N37" s="14"/>
      <c r="O37" s="8"/>
      <c r="P37" s="14"/>
      <c r="Q37" s="7">
        <f t="shared" si="1"/>
        <v>0</v>
      </c>
      <c r="R37" s="16">
        <f>5386740/12*11</f>
        <v>4937845</v>
      </c>
      <c r="S37" s="8">
        <f t="shared" si="2"/>
        <v>-4937845</v>
      </c>
      <c r="T37" s="33"/>
    </row>
    <row r="38" spans="1:20" x14ac:dyDescent="0.4">
      <c r="A38" s="31"/>
      <c r="B38" s="48"/>
      <c r="C38" s="51"/>
      <c r="D38" s="4" t="s">
        <v>27</v>
      </c>
      <c r="E38" s="8">
        <f>E37-E36</f>
        <v>0</v>
      </c>
      <c r="F38" s="8">
        <f t="shared" ref="F38:P38" si="15">F37-F36</f>
        <v>0</v>
      </c>
      <c r="G38" s="8">
        <f t="shared" si="15"/>
        <v>0</v>
      </c>
      <c r="H38" s="8">
        <f t="shared" si="15"/>
        <v>0</v>
      </c>
      <c r="I38" s="8">
        <f t="shared" si="15"/>
        <v>0</v>
      </c>
      <c r="J38" s="8">
        <f t="shared" si="15"/>
        <v>0</v>
      </c>
      <c r="K38" s="8">
        <f t="shared" si="15"/>
        <v>0</v>
      </c>
      <c r="L38" s="8">
        <f t="shared" si="15"/>
        <v>0</v>
      </c>
      <c r="M38" s="8">
        <f t="shared" si="15"/>
        <v>0</v>
      </c>
      <c r="N38" s="8">
        <f t="shared" si="15"/>
        <v>0</v>
      </c>
      <c r="O38" s="8">
        <f t="shared" si="15"/>
        <v>0</v>
      </c>
      <c r="P38" s="10">
        <f t="shared" si="15"/>
        <v>0</v>
      </c>
      <c r="Q38" s="7">
        <f t="shared" si="1"/>
        <v>0</v>
      </c>
      <c r="R38" s="16"/>
      <c r="S38" s="8"/>
      <c r="T38" s="34"/>
    </row>
    <row r="39" spans="1:20" ht="16.5" customHeight="1" x14ac:dyDescent="0.4">
      <c r="A39" s="59"/>
      <c r="B39" s="46"/>
      <c r="C39" s="49"/>
      <c r="D39" s="4" t="s">
        <v>24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6"/>
      <c r="Q39" s="7">
        <f>SUM(E39:P39)</f>
        <v>0</v>
      </c>
      <c r="R39" s="8">
        <f>270000/12*10</f>
        <v>225000</v>
      </c>
      <c r="S39" s="8">
        <f>Q39-R39</f>
        <v>-225000</v>
      </c>
      <c r="T39" s="42"/>
    </row>
    <row r="40" spans="1:20" x14ac:dyDescent="0.4">
      <c r="A40" s="60"/>
      <c r="B40" s="47"/>
      <c r="C40" s="50"/>
      <c r="D40" s="4" t="s">
        <v>26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6"/>
      <c r="Q40" s="7">
        <f>SUM(E40:P40)</f>
        <v>0</v>
      </c>
      <c r="R40" s="8">
        <f>156000/12*10</f>
        <v>130000</v>
      </c>
      <c r="S40" s="8">
        <f>Q40-R40</f>
        <v>-130000</v>
      </c>
      <c r="T40" s="33"/>
    </row>
    <row r="41" spans="1:20" x14ac:dyDescent="0.4">
      <c r="A41" s="61"/>
      <c r="B41" s="48"/>
      <c r="C41" s="51"/>
      <c r="D41" s="4" t="s">
        <v>27</v>
      </c>
      <c r="E41" s="8">
        <f>E40-E39</f>
        <v>0</v>
      </c>
      <c r="F41" s="8">
        <f t="shared" ref="F41" si="16">F40-F39</f>
        <v>0</v>
      </c>
      <c r="G41" s="8">
        <f>G40-G39</f>
        <v>0</v>
      </c>
      <c r="H41" s="8">
        <f t="shared" ref="H41:P41" si="17">H40-H39</f>
        <v>0</v>
      </c>
      <c r="I41" s="8">
        <f t="shared" si="17"/>
        <v>0</v>
      </c>
      <c r="J41" s="8">
        <f t="shared" si="17"/>
        <v>0</v>
      </c>
      <c r="K41" s="8">
        <f t="shared" si="17"/>
        <v>0</v>
      </c>
      <c r="L41" s="8">
        <f t="shared" si="17"/>
        <v>0</v>
      </c>
      <c r="M41" s="8">
        <f t="shared" si="17"/>
        <v>0</v>
      </c>
      <c r="N41" s="8">
        <f t="shared" si="17"/>
        <v>0</v>
      </c>
      <c r="O41" s="8">
        <f t="shared" si="17"/>
        <v>0</v>
      </c>
      <c r="P41" s="10">
        <f t="shared" si="17"/>
        <v>0</v>
      </c>
      <c r="Q41" s="7">
        <f>SUM(E41:P41)</f>
        <v>0</v>
      </c>
      <c r="R41" s="8"/>
      <c r="S41" s="8"/>
      <c r="T41" s="34"/>
    </row>
    <row r="42" spans="1:20" ht="16.5" customHeight="1" x14ac:dyDescent="0.4">
      <c r="A42" s="59"/>
      <c r="B42" s="46"/>
      <c r="C42" s="49"/>
      <c r="D42" s="4" t="s">
        <v>24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6"/>
      <c r="Q42" s="7">
        <f t="shared" si="1"/>
        <v>0</v>
      </c>
      <c r="R42" s="8">
        <f>204000/12*10</f>
        <v>170000</v>
      </c>
      <c r="S42" s="8">
        <f t="shared" si="2"/>
        <v>-170000</v>
      </c>
      <c r="T42" s="42"/>
    </row>
    <row r="43" spans="1:20" x14ac:dyDescent="0.4">
      <c r="A43" s="60"/>
      <c r="B43" s="47"/>
      <c r="C43" s="50"/>
      <c r="D43" s="4" t="s">
        <v>26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6"/>
      <c r="Q43" s="7">
        <f t="shared" si="1"/>
        <v>0</v>
      </c>
      <c r="R43" s="8">
        <f>120000/12*10</f>
        <v>100000</v>
      </c>
      <c r="S43" s="8">
        <f t="shared" si="2"/>
        <v>-100000</v>
      </c>
      <c r="T43" s="33"/>
    </row>
    <row r="44" spans="1:20" x14ac:dyDescent="0.4">
      <c r="A44" s="61"/>
      <c r="B44" s="48"/>
      <c r="C44" s="51"/>
      <c r="D44" s="4" t="s">
        <v>27</v>
      </c>
      <c r="E44" s="8">
        <f>E43-E42</f>
        <v>0</v>
      </c>
      <c r="F44" s="8">
        <f t="shared" ref="F44:P44" si="18">F43-F42</f>
        <v>0</v>
      </c>
      <c r="G44" s="8">
        <f t="shared" si="18"/>
        <v>0</v>
      </c>
      <c r="H44" s="8">
        <f t="shared" si="18"/>
        <v>0</v>
      </c>
      <c r="I44" s="8">
        <f t="shared" si="18"/>
        <v>0</v>
      </c>
      <c r="J44" s="8">
        <f t="shared" si="18"/>
        <v>0</v>
      </c>
      <c r="K44" s="8">
        <f t="shared" si="18"/>
        <v>0</v>
      </c>
      <c r="L44" s="8">
        <f t="shared" si="18"/>
        <v>0</v>
      </c>
      <c r="M44" s="8">
        <f t="shared" si="18"/>
        <v>0</v>
      </c>
      <c r="N44" s="8">
        <f t="shared" si="18"/>
        <v>0</v>
      </c>
      <c r="O44" s="8">
        <f t="shared" si="18"/>
        <v>0</v>
      </c>
      <c r="P44" s="10">
        <f t="shared" si="18"/>
        <v>0</v>
      </c>
      <c r="Q44" s="7">
        <f t="shared" si="1"/>
        <v>0</v>
      </c>
      <c r="R44" s="8"/>
      <c r="S44" s="8"/>
      <c r="T44" s="34"/>
    </row>
    <row r="45" spans="1:20" ht="16.5" customHeight="1" x14ac:dyDescent="0.4">
      <c r="A45" s="59"/>
      <c r="B45" s="46"/>
      <c r="C45" s="49"/>
      <c r="D45" s="4" t="s">
        <v>24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6"/>
      <c r="Q45" s="7">
        <f t="shared" si="1"/>
        <v>0</v>
      </c>
      <c r="R45" s="8">
        <f>82020/12*10</f>
        <v>68350</v>
      </c>
      <c r="S45" s="8">
        <f t="shared" si="2"/>
        <v>-68350</v>
      </c>
      <c r="T45" s="42"/>
    </row>
    <row r="46" spans="1:20" x14ac:dyDescent="0.4">
      <c r="A46" s="60"/>
      <c r="B46" s="47"/>
      <c r="C46" s="50"/>
      <c r="D46" s="4" t="s">
        <v>26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7">
        <f t="shared" si="1"/>
        <v>0</v>
      </c>
      <c r="R46" s="8">
        <f>54000/12*10+24000</f>
        <v>69000</v>
      </c>
      <c r="S46" s="8">
        <f t="shared" si="2"/>
        <v>-69000</v>
      </c>
      <c r="T46" s="33"/>
    </row>
    <row r="47" spans="1:20" x14ac:dyDescent="0.4">
      <c r="A47" s="61"/>
      <c r="B47" s="48"/>
      <c r="C47" s="51"/>
      <c r="D47" s="4" t="s">
        <v>27</v>
      </c>
      <c r="E47" s="8">
        <f>E46-E45</f>
        <v>0</v>
      </c>
      <c r="F47" s="8">
        <f t="shared" ref="F47:P47" si="19">F46-F45</f>
        <v>0</v>
      </c>
      <c r="G47" s="8">
        <f t="shared" si="19"/>
        <v>0</v>
      </c>
      <c r="H47" s="8">
        <f t="shared" si="19"/>
        <v>0</v>
      </c>
      <c r="I47" s="8">
        <f t="shared" si="19"/>
        <v>0</v>
      </c>
      <c r="J47" s="8">
        <f t="shared" si="19"/>
        <v>0</v>
      </c>
      <c r="K47" s="8">
        <f t="shared" si="19"/>
        <v>0</v>
      </c>
      <c r="L47" s="8">
        <f t="shared" si="19"/>
        <v>0</v>
      </c>
      <c r="M47" s="8">
        <f t="shared" si="19"/>
        <v>0</v>
      </c>
      <c r="N47" s="8">
        <f t="shared" si="19"/>
        <v>0</v>
      </c>
      <c r="O47" s="8">
        <f t="shared" si="19"/>
        <v>0</v>
      </c>
      <c r="P47" s="10">
        <f t="shared" si="19"/>
        <v>0</v>
      </c>
      <c r="Q47" s="7">
        <f t="shared" si="1"/>
        <v>0</v>
      </c>
      <c r="R47" s="8"/>
      <c r="S47" s="8"/>
      <c r="T47" s="34"/>
    </row>
    <row r="48" spans="1:20" ht="16.5" customHeight="1" x14ac:dyDescent="0.4">
      <c r="A48" s="59"/>
      <c r="B48" s="46"/>
      <c r="C48" s="49"/>
      <c r="D48" s="4" t="s">
        <v>24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6"/>
      <c r="Q48" s="7">
        <f t="shared" si="1"/>
        <v>0</v>
      </c>
      <c r="R48" s="8">
        <v>3468000</v>
      </c>
      <c r="S48" s="8">
        <f t="shared" si="2"/>
        <v>-3468000</v>
      </c>
      <c r="T48" s="42"/>
    </row>
    <row r="49" spans="1:20" x14ac:dyDescent="0.4">
      <c r="A49" s="60"/>
      <c r="B49" s="47"/>
      <c r="C49" s="50"/>
      <c r="D49" s="4" t="s">
        <v>26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6"/>
      <c r="Q49" s="7">
        <f t="shared" si="1"/>
        <v>0</v>
      </c>
      <c r="R49" s="8">
        <v>3086520</v>
      </c>
      <c r="S49" s="8">
        <f t="shared" si="2"/>
        <v>-3086520</v>
      </c>
      <c r="T49" s="33"/>
    </row>
    <row r="50" spans="1:20" x14ac:dyDescent="0.4">
      <c r="A50" s="61"/>
      <c r="B50" s="48"/>
      <c r="C50" s="51"/>
      <c r="D50" s="4" t="s">
        <v>27</v>
      </c>
      <c r="E50" s="8">
        <f>E49-E48</f>
        <v>0</v>
      </c>
      <c r="F50" s="8">
        <f t="shared" ref="F50:P50" si="20">F49-F48</f>
        <v>0</v>
      </c>
      <c r="G50" s="8">
        <f t="shared" si="20"/>
        <v>0</v>
      </c>
      <c r="H50" s="8">
        <f t="shared" si="20"/>
        <v>0</v>
      </c>
      <c r="I50" s="8">
        <f t="shared" si="20"/>
        <v>0</v>
      </c>
      <c r="J50" s="8">
        <f t="shared" si="20"/>
        <v>0</v>
      </c>
      <c r="K50" s="8">
        <f t="shared" si="20"/>
        <v>0</v>
      </c>
      <c r="L50" s="8">
        <f t="shared" si="20"/>
        <v>0</v>
      </c>
      <c r="M50" s="8">
        <f t="shared" si="20"/>
        <v>0</v>
      </c>
      <c r="N50" s="8">
        <f t="shared" si="20"/>
        <v>0</v>
      </c>
      <c r="O50" s="8">
        <f t="shared" si="20"/>
        <v>0</v>
      </c>
      <c r="P50" s="10">
        <f t="shared" si="20"/>
        <v>0</v>
      </c>
      <c r="Q50" s="7">
        <f t="shared" si="1"/>
        <v>0</v>
      </c>
      <c r="R50" s="8"/>
      <c r="S50" s="8"/>
      <c r="T50" s="34"/>
    </row>
    <row r="51" spans="1:20" ht="16.5" customHeight="1" x14ac:dyDescent="0.4">
      <c r="A51" s="59"/>
      <c r="B51" s="46"/>
      <c r="C51" s="49"/>
      <c r="D51" s="4" t="s">
        <v>24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6"/>
      <c r="Q51" s="7">
        <f t="shared" ref="Q51:Q67" si="21">SUM(E51:P51)</f>
        <v>0</v>
      </c>
      <c r="R51" s="8">
        <f>3468000/12*11</f>
        <v>3179000</v>
      </c>
      <c r="S51" s="8">
        <f t="shared" si="2"/>
        <v>-3179000</v>
      </c>
      <c r="T51" s="42"/>
    </row>
    <row r="52" spans="1:20" x14ac:dyDescent="0.4">
      <c r="A52" s="60"/>
      <c r="B52" s="47"/>
      <c r="C52" s="50"/>
      <c r="D52" s="4" t="s">
        <v>26</v>
      </c>
      <c r="E52" s="5"/>
      <c r="F52" s="8"/>
      <c r="G52" s="8"/>
      <c r="H52" s="8"/>
      <c r="I52" s="8"/>
      <c r="J52" s="8"/>
      <c r="K52" s="8"/>
      <c r="L52" s="8"/>
      <c r="M52" s="8"/>
      <c r="N52" s="8"/>
      <c r="O52" s="8"/>
      <c r="P52" s="10"/>
      <c r="Q52" s="7">
        <f t="shared" si="21"/>
        <v>0</v>
      </c>
      <c r="R52" s="8"/>
      <c r="S52" s="8"/>
      <c r="T52" s="33"/>
    </row>
    <row r="53" spans="1:20" x14ac:dyDescent="0.4">
      <c r="A53" s="61"/>
      <c r="B53" s="48"/>
      <c r="C53" s="51"/>
      <c r="D53" s="4" t="s">
        <v>27</v>
      </c>
      <c r="E53" s="8">
        <f>E52-E51</f>
        <v>0</v>
      </c>
      <c r="F53" s="8">
        <f t="shared" ref="F53:P53" si="22">F52-F51</f>
        <v>0</v>
      </c>
      <c r="G53" s="8">
        <f t="shared" si="22"/>
        <v>0</v>
      </c>
      <c r="H53" s="8">
        <f t="shared" si="22"/>
        <v>0</v>
      </c>
      <c r="I53" s="8">
        <f t="shared" si="22"/>
        <v>0</v>
      </c>
      <c r="J53" s="8">
        <f t="shared" si="22"/>
        <v>0</v>
      </c>
      <c r="K53" s="8">
        <f t="shared" si="22"/>
        <v>0</v>
      </c>
      <c r="L53" s="8">
        <f t="shared" si="22"/>
        <v>0</v>
      </c>
      <c r="M53" s="8">
        <f t="shared" si="22"/>
        <v>0</v>
      </c>
      <c r="N53" s="8">
        <f t="shared" si="22"/>
        <v>0</v>
      </c>
      <c r="O53" s="8">
        <f t="shared" si="22"/>
        <v>0</v>
      </c>
      <c r="P53" s="10">
        <f t="shared" si="22"/>
        <v>0</v>
      </c>
      <c r="Q53" s="7">
        <f t="shared" si="21"/>
        <v>0</v>
      </c>
      <c r="R53" s="8"/>
      <c r="S53" s="8"/>
      <c r="T53" s="34"/>
    </row>
    <row r="54" spans="1:20" x14ac:dyDescent="0.4">
      <c r="A54" s="44"/>
      <c r="B54" s="46"/>
      <c r="C54" s="49"/>
      <c r="D54" s="4" t="s">
        <v>24</v>
      </c>
      <c r="E54" s="8"/>
      <c r="F54" s="8"/>
      <c r="G54" s="5"/>
      <c r="H54" s="8"/>
      <c r="I54" s="8"/>
      <c r="J54" s="5"/>
      <c r="K54" s="8"/>
      <c r="L54" s="8"/>
      <c r="M54" s="5"/>
      <c r="N54" s="8"/>
      <c r="O54" s="8"/>
      <c r="P54" s="6"/>
      <c r="Q54" s="7">
        <f t="shared" si="21"/>
        <v>0</v>
      </c>
      <c r="R54" s="8">
        <v>1000000</v>
      </c>
      <c r="S54" s="8">
        <f t="shared" si="2"/>
        <v>-1000000</v>
      </c>
      <c r="T54" s="42"/>
    </row>
    <row r="55" spans="1:20" x14ac:dyDescent="0.4">
      <c r="A55" s="45"/>
      <c r="B55" s="47"/>
      <c r="C55" s="50"/>
      <c r="D55" s="4" t="s">
        <v>26</v>
      </c>
      <c r="E55" s="8"/>
      <c r="F55" s="8"/>
      <c r="G55" s="5"/>
      <c r="H55" s="8"/>
      <c r="I55" s="8"/>
      <c r="J55" s="8"/>
      <c r="K55" s="8"/>
      <c r="L55" s="8"/>
      <c r="M55" s="5"/>
      <c r="N55" s="8"/>
      <c r="O55" s="8"/>
      <c r="P55" s="10"/>
      <c r="Q55" s="7">
        <f t="shared" si="21"/>
        <v>0</v>
      </c>
      <c r="R55" s="8">
        <v>500000</v>
      </c>
      <c r="S55" s="8">
        <f t="shared" si="2"/>
        <v>-500000</v>
      </c>
      <c r="T55" s="33"/>
    </row>
    <row r="56" spans="1:20" x14ac:dyDescent="0.4">
      <c r="A56" s="31"/>
      <c r="B56" s="48"/>
      <c r="C56" s="51"/>
      <c r="D56" s="4" t="s">
        <v>27</v>
      </c>
      <c r="E56" s="8">
        <f>E55-E54</f>
        <v>0</v>
      </c>
      <c r="F56" s="8">
        <f t="shared" ref="F56:P56" si="23">F55-F54</f>
        <v>0</v>
      </c>
      <c r="G56" s="8">
        <f t="shared" si="23"/>
        <v>0</v>
      </c>
      <c r="H56" s="8">
        <f t="shared" si="23"/>
        <v>0</v>
      </c>
      <c r="I56" s="8">
        <f t="shared" si="23"/>
        <v>0</v>
      </c>
      <c r="J56" s="8">
        <f t="shared" si="23"/>
        <v>0</v>
      </c>
      <c r="K56" s="8">
        <f t="shared" si="23"/>
        <v>0</v>
      </c>
      <c r="L56" s="8">
        <f t="shared" si="23"/>
        <v>0</v>
      </c>
      <c r="M56" s="8">
        <f t="shared" si="23"/>
        <v>0</v>
      </c>
      <c r="N56" s="8">
        <f t="shared" si="23"/>
        <v>0</v>
      </c>
      <c r="O56" s="8">
        <f t="shared" si="23"/>
        <v>0</v>
      </c>
      <c r="P56" s="10">
        <f t="shared" si="23"/>
        <v>0</v>
      </c>
      <c r="Q56" s="7">
        <f t="shared" si="21"/>
        <v>0</v>
      </c>
      <c r="R56" s="8"/>
      <c r="S56" s="8"/>
      <c r="T56" s="34"/>
    </row>
    <row r="57" spans="1:20" x14ac:dyDescent="0.4">
      <c r="A57" s="44"/>
      <c r="B57" s="46"/>
      <c r="C57" s="49"/>
      <c r="D57" s="4" t="s">
        <v>24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6"/>
      <c r="Q57" s="7">
        <f>SUM(E57:P57)</f>
        <v>0</v>
      </c>
      <c r="R57" s="8">
        <f>1320000/12*11</f>
        <v>1210000</v>
      </c>
      <c r="S57" s="8">
        <f>Q57-R57</f>
        <v>-1210000</v>
      </c>
      <c r="T57" s="58"/>
    </row>
    <row r="58" spans="1:20" x14ac:dyDescent="0.4">
      <c r="A58" s="45"/>
      <c r="B58" s="47"/>
      <c r="C58" s="50"/>
      <c r="D58" s="4" t="s">
        <v>26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6"/>
      <c r="Q58" s="7">
        <f>SUM(E58:P58)</f>
        <v>0</v>
      </c>
      <c r="R58" s="8">
        <f>396000/12*11</f>
        <v>363000</v>
      </c>
      <c r="S58" s="8">
        <f>Q58-R58</f>
        <v>-363000</v>
      </c>
      <c r="T58" s="33"/>
    </row>
    <row r="59" spans="1:20" x14ac:dyDescent="0.4">
      <c r="A59" s="31"/>
      <c r="B59" s="48"/>
      <c r="C59" s="51"/>
      <c r="D59" s="4" t="s">
        <v>27</v>
      </c>
      <c r="E59" s="8">
        <f>E58-E57</f>
        <v>0</v>
      </c>
      <c r="F59" s="8">
        <f t="shared" ref="F59:P59" si="24">F58-F57</f>
        <v>0</v>
      </c>
      <c r="G59" s="8">
        <f t="shared" si="24"/>
        <v>0</v>
      </c>
      <c r="H59" s="8">
        <f t="shared" si="24"/>
        <v>0</v>
      </c>
      <c r="I59" s="8">
        <f t="shared" si="24"/>
        <v>0</v>
      </c>
      <c r="J59" s="8">
        <f t="shared" si="24"/>
        <v>0</v>
      </c>
      <c r="K59" s="8">
        <f t="shared" si="24"/>
        <v>0</v>
      </c>
      <c r="L59" s="8">
        <f t="shared" si="24"/>
        <v>0</v>
      </c>
      <c r="M59" s="8">
        <f t="shared" si="24"/>
        <v>0</v>
      </c>
      <c r="N59" s="8">
        <f t="shared" si="24"/>
        <v>0</v>
      </c>
      <c r="O59" s="8">
        <f t="shared" si="24"/>
        <v>0</v>
      </c>
      <c r="P59" s="10">
        <f t="shared" si="24"/>
        <v>0</v>
      </c>
      <c r="Q59" s="7">
        <f>SUM(E59:P59)</f>
        <v>0</v>
      </c>
      <c r="R59" s="8"/>
      <c r="S59" s="8"/>
      <c r="T59" s="34"/>
    </row>
    <row r="60" spans="1:20" x14ac:dyDescent="0.4">
      <c r="A60" s="44"/>
      <c r="B60" s="46"/>
      <c r="C60" s="49"/>
      <c r="D60" s="4" t="s">
        <v>24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6"/>
      <c r="Q60" s="7">
        <f>SUM(E60:P60)</f>
        <v>0</v>
      </c>
      <c r="R60" s="8">
        <f>3468000/12*9</f>
        <v>2601000</v>
      </c>
      <c r="S60" s="8">
        <f t="shared" si="2"/>
        <v>-2601000</v>
      </c>
      <c r="T60" s="42"/>
    </row>
    <row r="61" spans="1:20" x14ac:dyDescent="0.4">
      <c r="A61" s="45"/>
      <c r="B61" s="47"/>
      <c r="C61" s="50"/>
      <c r="D61" s="4" t="s">
        <v>26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6"/>
      <c r="Q61" s="7">
        <f>SUM(E61:P61)</f>
        <v>0</v>
      </c>
      <c r="R61" s="8">
        <f>3366000/12*9</f>
        <v>2524500</v>
      </c>
      <c r="S61" s="8">
        <f t="shared" si="2"/>
        <v>-2524500</v>
      </c>
      <c r="T61" s="33"/>
    </row>
    <row r="62" spans="1:20" x14ac:dyDescent="0.4">
      <c r="A62" s="31"/>
      <c r="B62" s="48"/>
      <c r="C62" s="51"/>
      <c r="D62" s="4" t="s">
        <v>27</v>
      </c>
      <c r="E62" s="8">
        <f>E61-E60</f>
        <v>0</v>
      </c>
      <c r="F62" s="8">
        <f t="shared" ref="F62:P62" si="25">F61-F60</f>
        <v>0</v>
      </c>
      <c r="G62" s="8">
        <f t="shared" si="25"/>
        <v>0</v>
      </c>
      <c r="H62" s="8">
        <f t="shared" si="25"/>
        <v>0</v>
      </c>
      <c r="I62" s="8">
        <f t="shared" si="25"/>
        <v>0</v>
      </c>
      <c r="J62" s="8">
        <f t="shared" si="25"/>
        <v>0</v>
      </c>
      <c r="K62" s="8">
        <f t="shared" si="25"/>
        <v>0</v>
      </c>
      <c r="L62" s="8">
        <f t="shared" si="25"/>
        <v>0</v>
      </c>
      <c r="M62" s="8">
        <f t="shared" si="25"/>
        <v>0</v>
      </c>
      <c r="N62" s="8">
        <f t="shared" si="25"/>
        <v>0</v>
      </c>
      <c r="O62" s="8">
        <f t="shared" si="25"/>
        <v>0</v>
      </c>
      <c r="P62" s="10">
        <f t="shared" si="25"/>
        <v>0</v>
      </c>
      <c r="Q62" s="7">
        <f t="shared" si="21"/>
        <v>0</v>
      </c>
      <c r="R62" s="8"/>
      <c r="S62" s="8"/>
      <c r="T62" s="34"/>
    </row>
    <row r="63" spans="1:20" s="13" customFormat="1" x14ac:dyDescent="0.4">
      <c r="A63" s="46"/>
      <c r="B63" s="46"/>
      <c r="C63" s="55"/>
      <c r="D63" s="4" t="s">
        <v>24</v>
      </c>
      <c r="E63" s="8"/>
      <c r="F63" s="8"/>
      <c r="G63" s="8"/>
      <c r="H63" s="8"/>
      <c r="I63" s="5"/>
      <c r="J63" s="8"/>
      <c r="K63" s="8"/>
      <c r="L63" s="8"/>
      <c r="M63" s="5"/>
      <c r="N63" s="8"/>
      <c r="O63" s="8"/>
      <c r="P63" s="10"/>
      <c r="Q63" s="7">
        <f>SUM(E63:P63)</f>
        <v>0</v>
      </c>
      <c r="R63" s="11">
        <v>1000000</v>
      </c>
      <c r="S63" s="8">
        <f>Q63-R63</f>
        <v>-1000000</v>
      </c>
      <c r="T63" s="42"/>
    </row>
    <row r="64" spans="1:20" s="13" customFormat="1" x14ac:dyDescent="0.4">
      <c r="A64" s="47"/>
      <c r="B64" s="47"/>
      <c r="C64" s="56"/>
      <c r="D64" s="4" t="s">
        <v>26</v>
      </c>
      <c r="E64" s="8"/>
      <c r="F64" s="8"/>
      <c r="G64" s="8"/>
      <c r="H64" s="8"/>
      <c r="I64" s="5"/>
      <c r="J64" s="8"/>
      <c r="K64" s="8"/>
      <c r="L64" s="8"/>
      <c r="M64" s="5"/>
      <c r="N64" s="8"/>
      <c r="O64" s="8"/>
      <c r="P64" s="10"/>
      <c r="Q64" s="7">
        <f>SUM(E64:P64)</f>
        <v>0</v>
      </c>
      <c r="R64" s="11">
        <v>560000</v>
      </c>
      <c r="S64" s="8">
        <f>Q64-R64</f>
        <v>-560000</v>
      </c>
      <c r="T64" s="33"/>
    </row>
    <row r="65" spans="1:20" s="13" customFormat="1" x14ac:dyDescent="0.4">
      <c r="A65" s="48"/>
      <c r="B65" s="48"/>
      <c r="C65" s="57"/>
      <c r="D65" s="4" t="s">
        <v>27</v>
      </c>
      <c r="E65" s="8">
        <f>E64-E63</f>
        <v>0</v>
      </c>
      <c r="F65" s="8">
        <f t="shared" ref="F65:P65" si="26">F64-F63</f>
        <v>0</v>
      </c>
      <c r="G65" s="8">
        <f t="shared" si="26"/>
        <v>0</v>
      </c>
      <c r="H65" s="8">
        <f t="shared" si="26"/>
        <v>0</v>
      </c>
      <c r="I65" s="8">
        <f t="shared" si="26"/>
        <v>0</v>
      </c>
      <c r="J65" s="8">
        <f t="shared" si="26"/>
        <v>0</v>
      </c>
      <c r="K65" s="8">
        <f t="shared" si="26"/>
        <v>0</v>
      </c>
      <c r="L65" s="8">
        <f t="shared" si="26"/>
        <v>0</v>
      </c>
      <c r="M65" s="8">
        <f t="shared" si="26"/>
        <v>0</v>
      </c>
      <c r="N65" s="8">
        <f t="shared" si="26"/>
        <v>0</v>
      </c>
      <c r="O65" s="8">
        <f t="shared" si="26"/>
        <v>0</v>
      </c>
      <c r="P65" s="10">
        <f t="shared" si="26"/>
        <v>0</v>
      </c>
      <c r="Q65" s="7">
        <f>SUM(E65:P65)</f>
        <v>0</v>
      </c>
      <c r="R65" s="11"/>
      <c r="S65" s="8"/>
      <c r="T65" s="34"/>
    </row>
    <row r="66" spans="1:20" x14ac:dyDescent="0.4">
      <c r="A66" s="44"/>
      <c r="B66" s="46"/>
      <c r="C66" s="49"/>
      <c r="D66" s="4" t="s">
        <v>24</v>
      </c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10"/>
      <c r="Q66" s="7">
        <f t="shared" si="21"/>
        <v>0</v>
      </c>
      <c r="R66" s="8">
        <v>2500000</v>
      </c>
      <c r="S66" s="8">
        <f t="shared" si="2"/>
        <v>-2500000</v>
      </c>
      <c r="T66" s="42"/>
    </row>
    <row r="67" spans="1:20" x14ac:dyDescent="0.4">
      <c r="A67" s="45"/>
      <c r="B67" s="47"/>
      <c r="C67" s="50"/>
      <c r="D67" s="4" t="s">
        <v>26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10"/>
      <c r="Q67" s="7">
        <f t="shared" si="21"/>
        <v>0</v>
      </c>
      <c r="R67" s="8">
        <v>1440000</v>
      </c>
      <c r="S67" s="8">
        <f t="shared" si="2"/>
        <v>-1440000</v>
      </c>
      <c r="T67" s="33"/>
    </row>
    <row r="68" spans="1:20" x14ac:dyDescent="0.4">
      <c r="A68" s="31"/>
      <c r="B68" s="48"/>
      <c r="C68" s="51"/>
      <c r="D68" s="4" t="s">
        <v>27</v>
      </c>
      <c r="E68" s="8">
        <f>E67-E66</f>
        <v>0</v>
      </c>
      <c r="F68" s="8">
        <f t="shared" ref="F68:P68" si="27">F67-F66</f>
        <v>0</v>
      </c>
      <c r="G68" s="8">
        <f t="shared" si="27"/>
        <v>0</v>
      </c>
      <c r="H68" s="8">
        <f t="shared" si="27"/>
        <v>0</v>
      </c>
      <c r="I68" s="8">
        <f t="shared" si="27"/>
        <v>0</v>
      </c>
      <c r="J68" s="8">
        <f t="shared" si="27"/>
        <v>0</v>
      </c>
      <c r="K68" s="8">
        <f t="shared" si="27"/>
        <v>0</v>
      </c>
      <c r="L68" s="8">
        <f t="shared" si="27"/>
        <v>0</v>
      </c>
      <c r="M68" s="8">
        <f t="shared" si="27"/>
        <v>0</v>
      </c>
      <c r="N68" s="8">
        <f t="shared" si="27"/>
        <v>0</v>
      </c>
      <c r="O68" s="8">
        <f t="shared" si="27"/>
        <v>0</v>
      </c>
      <c r="P68" s="10">
        <f t="shared" si="27"/>
        <v>0</v>
      </c>
      <c r="Q68" s="7">
        <f t="shared" ref="Q68:Q81" si="28">SUM(E68:P68)</f>
        <v>0</v>
      </c>
      <c r="R68" s="8"/>
      <c r="S68" s="8"/>
      <c r="T68" s="34"/>
    </row>
    <row r="69" spans="1:20" x14ac:dyDescent="0.4">
      <c r="A69" s="44"/>
      <c r="B69" s="46"/>
      <c r="C69" s="52"/>
      <c r="D69" s="4" t="s">
        <v>24</v>
      </c>
      <c r="E69" s="14"/>
      <c r="F69" s="11"/>
      <c r="G69" s="14"/>
      <c r="H69" s="14"/>
      <c r="I69" s="14"/>
      <c r="J69" s="14"/>
      <c r="K69" s="14"/>
      <c r="L69" s="14"/>
      <c r="M69" s="14"/>
      <c r="N69" s="14"/>
      <c r="O69" s="14"/>
      <c r="P69" s="15"/>
      <c r="Q69" s="7">
        <f t="shared" si="28"/>
        <v>0</v>
      </c>
      <c r="R69" s="14">
        <f>204000/12*6+500000/12*6</f>
        <v>352000</v>
      </c>
      <c r="S69" s="8">
        <f>Q69-R69</f>
        <v>-352000</v>
      </c>
      <c r="T69" s="42"/>
    </row>
    <row r="70" spans="1:20" x14ac:dyDescent="0.4">
      <c r="A70" s="45"/>
      <c r="B70" s="47"/>
      <c r="C70" s="53"/>
      <c r="D70" s="4" t="s">
        <v>26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5"/>
      <c r="Q70" s="7">
        <f t="shared" si="28"/>
        <v>0</v>
      </c>
      <c r="R70" s="8">
        <f>133043.47826087/12*6+425000/12*6</f>
        <v>279021.73913043499</v>
      </c>
      <c r="S70" s="8">
        <f t="shared" si="2"/>
        <v>-279021.73913043499</v>
      </c>
      <c r="T70" s="33"/>
    </row>
    <row r="71" spans="1:20" x14ac:dyDescent="0.4">
      <c r="A71" s="31"/>
      <c r="B71" s="48"/>
      <c r="C71" s="54"/>
      <c r="D71" s="4" t="s">
        <v>27</v>
      </c>
      <c r="E71" s="8">
        <f>E70-E69</f>
        <v>0</v>
      </c>
      <c r="F71" s="8">
        <f t="shared" ref="F71:P71" si="29">F70-F69</f>
        <v>0</v>
      </c>
      <c r="G71" s="8">
        <f t="shared" si="29"/>
        <v>0</v>
      </c>
      <c r="H71" s="8">
        <f t="shared" si="29"/>
        <v>0</v>
      </c>
      <c r="I71" s="8">
        <f t="shared" si="29"/>
        <v>0</v>
      </c>
      <c r="J71" s="8">
        <f t="shared" si="29"/>
        <v>0</v>
      </c>
      <c r="K71" s="8">
        <f t="shared" si="29"/>
        <v>0</v>
      </c>
      <c r="L71" s="8">
        <f t="shared" si="29"/>
        <v>0</v>
      </c>
      <c r="M71" s="8">
        <f t="shared" si="29"/>
        <v>0</v>
      </c>
      <c r="N71" s="8">
        <f t="shared" si="29"/>
        <v>0</v>
      </c>
      <c r="O71" s="8">
        <f t="shared" si="29"/>
        <v>0</v>
      </c>
      <c r="P71" s="10">
        <f t="shared" si="29"/>
        <v>0</v>
      </c>
      <c r="Q71" s="7">
        <f t="shared" si="28"/>
        <v>0</v>
      </c>
      <c r="R71" s="8"/>
      <c r="S71" s="8"/>
      <c r="T71" s="34"/>
    </row>
    <row r="72" spans="1:20" x14ac:dyDescent="0.4">
      <c r="A72" s="44"/>
      <c r="B72" s="46"/>
      <c r="C72" s="49"/>
      <c r="D72" s="4" t="s">
        <v>24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6"/>
      <c r="Q72" s="7">
        <f t="shared" si="28"/>
        <v>0</v>
      </c>
      <c r="R72" s="8">
        <f>8160000/12*8</f>
        <v>5440000</v>
      </c>
      <c r="S72" s="8">
        <f t="shared" si="2"/>
        <v>-5440000</v>
      </c>
      <c r="T72" s="42"/>
    </row>
    <row r="73" spans="1:20" x14ac:dyDescent="0.4">
      <c r="A73" s="45"/>
      <c r="B73" s="47"/>
      <c r="C73" s="50"/>
      <c r="D73" s="4" t="s">
        <v>26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6"/>
      <c r="Q73" s="7">
        <f t="shared" si="28"/>
        <v>0</v>
      </c>
      <c r="R73" s="8">
        <f>2160000/12*8+2710000</f>
        <v>4150000</v>
      </c>
      <c r="S73" s="8">
        <f t="shared" si="2"/>
        <v>-4150000</v>
      </c>
      <c r="T73" s="33"/>
    </row>
    <row r="74" spans="1:20" x14ac:dyDescent="0.4">
      <c r="A74" s="31"/>
      <c r="B74" s="48"/>
      <c r="C74" s="51"/>
      <c r="D74" s="4" t="s">
        <v>27</v>
      </c>
      <c r="E74" s="8">
        <f>E73-E72</f>
        <v>0</v>
      </c>
      <c r="F74" s="8">
        <f t="shared" ref="F74:P74" si="30">F73-F72</f>
        <v>0</v>
      </c>
      <c r="G74" s="8">
        <f t="shared" si="30"/>
        <v>0</v>
      </c>
      <c r="H74" s="8">
        <f t="shared" si="30"/>
        <v>0</v>
      </c>
      <c r="I74" s="8">
        <f t="shared" si="30"/>
        <v>0</v>
      </c>
      <c r="J74" s="8">
        <f t="shared" si="30"/>
        <v>0</v>
      </c>
      <c r="K74" s="8">
        <f t="shared" si="30"/>
        <v>0</v>
      </c>
      <c r="L74" s="8">
        <f t="shared" si="30"/>
        <v>0</v>
      </c>
      <c r="M74" s="8">
        <f t="shared" si="30"/>
        <v>0</v>
      </c>
      <c r="N74" s="8">
        <f t="shared" si="30"/>
        <v>0</v>
      </c>
      <c r="O74" s="8">
        <f t="shared" si="30"/>
        <v>0</v>
      </c>
      <c r="P74" s="10">
        <f t="shared" si="30"/>
        <v>0</v>
      </c>
      <c r="Q74" s="7">
        <f t="shared" si="28"/>
        <v>0</v>
      </c>
      <c r="R74" s="8"/>
      <c r="S74" s="8"/>
      <c r="T74" s="34"/>
    </row>
    <row r="75" spans="1:20" x14ac:dyDescent="0.4">
      <c r="A75" s="44"/>
      <c r="B75" s="46"/>
      <c r="C75" s="49"/>
      <c r="D75" s="4" t="s">
        <v>24</v>
      </c>
      <c r="E75" s="8"/>
      <c r="F75" s="8"/>
      <c r="G75" s="8"/>
      <c r="H75" s="8"/>
      <c r="I75" s="8"/>
      <c r="J75" s="8"/>
      <c r="K75" s="11"/>
      <c r="L75" s="11"/>
      <c r="M75" s="11"/>
      <c r="N75" s="11"/>
      <c r="O75" s="11"/>
      <c r="P75" s="17"/>
      <c r="Q75" s="7">
        <f t="shared" si="28"/>
        <v>0</v>
      </c>
      <c r="R75" s="8">
        <f>2223000*(100%-0.36842)</f>
        <v>1404002.34</v>
      </c>
      <c r="S75" s="8">
        <f t="shared" si="2"/>
        <v>-1404002.34</v>
      </c>
      <c r="T75" s="42"/>
    </row>
    <row r="76" spans="1:20" x14ac:dyDescent="0.4">
      <c r="A76" s="45"/>
      <c r="B76" s="47"/>
      <c r="C76" s="50"/>
      <c r="D76" s="4" t="s">
        <v>26</v>
      </c>
      <c r="E76" s="8"/>
      <c r="F76" s="8"/>
      <c r="G76" s="8"/>
      <c r="H76" s="8"/>
      <c r="I76" s="8"/>
      <c r="J76" s="8"/>
      <c r="K76" s="11"/>
      <c r="L76" s="11"/>
      <c r="M76" s="11"/>
      <c r="N76" s="11"/>
      <c r="O76" s="11"/>
      <c r="P76" s="17"/>
      <c r="Q76" s="7">
        <f t="shared" si="28"/>
        <v>0</v>
      </c>
      <c r="R76" s="8">
        <f>1881000*(100%-0.36842)</f>
        <v>1188001.98</v>
      </c>
      <c r="S76" s="8">
        <f t="shared" si="2"/>
        <v>-1188001.98</v>
      </c>
      <c r="T76" s="33"/>
    </row>
    <row r="77" spans="1:20" x14ac:dyDescent="0.4">
      <c r="A77" s="31"/>
      <c r="B77" s="48"/>
      <c r="C77" s="51"/>
      <c r="D77" s="4" t="s">
        <v>27</v>
      </c>
      <c r="E77" s="8">
        <f>E76-E75</f>
        <v>0</v>
      </c>
      <c r="F77" s="8">
        <f t="shared" ref="F77:P77" si="31">F76-F75</f>
        <v>0</v>
      </c>
      <c r="G77" s="8">
        <f t="shared" si="31"/>
        <v>0</v>
      </c>
      <c r="H77" s="8">
        <f t="shared" si="31"/>
        <v>0</v>
      </c>
      <c r="I77" s="8">
        <f t="shared" si="31"/>
        <v>0</v>
      </c>
      <c r="J77" s="8">
        <f t="shared" si="31"/>
        <v>0</v>
      </c>
      <c r="K77" s="8">
        <f t="shared" si="31"/>
        <v>0</v>
      </c>
      <c r="L77" s="8">
        <f t="shared" si="31"/>
        <v>0</v>
      </c>
      <c r="M77" s="8">
        <f t="shared" si="31"/>
        <v>0</v>
      </c>
      <c r="N77" s="8">
        <f t="shared" si="31"/>
        <v>0</v>
      </c>
      <c r="O77" s="8">
        <f t="shared" si="31"/>
        <v>0</v>
      </c>
      <c r="P77" s="10">
        <f t="shared" si="31"/>
        <v>0</v>
      </c>
      <c r="Q77" s="7">
        <f t="shared" si="28"/>
        <v>0</v>
      </c>
      <c r="R77" s="8"/>
      <c r="S77" s="8"/>
      <c r="T77" s="34"/>
    </row>
    <row r="78" spans="1:20" x14ac:dyDescent="0.4">
      <c r="A78" s="32"/>
      <c r="B78" s="35"/>
      <c r="C78" s="36"/>
      <c r="D78" s="4" t="s">
        <v>24</v>
      </c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6"/>
      <c r="Q78" s="7">
        <f t="shared" si="28"/>
        <v>0</v>
      </c>
      <c r="R78" s="16">
        <f>((3*1*20)+(6*6)+(1*2))*1700*9</f>
        <v>1499400</v>
      </c>
      <c r="S78" s="8">
        <f>Q78-R78</f>
        <v>-1499400</v>
      </c>
      <c r="T78" s="37"/>
    </row>
    <row r="79" spans="1:20" ht="19.5" customHeight="1" x14ac:dyDescent="0.4">
      <c r="A79" s="32"/>
      <c r="B79" s="35"/>
      <c r="C79" s="36"/>
      <c r="D79" s="4" t="s">
        <v>26</v>
      </c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6"/>
      <c r="Q79" s="7">
        <f t="shared" si="28"/>
        <v>0</v>
      </c>
      <c r="R79" s="16">
        <f>(3*6)*1700*9+1000000/12*9</f>
        <v>1025400</v>
      </c>
      <c r="S79" s="8">
        <f>Q79-R79</f>
        <v>-1025400</v>
      </c>
      <c r="T79" s="38"/>
    </row>
    <row r="80" spans="1:20" ht="19.5" customHeight="1" thickBot="1" x14ac:dyDescent="0.45">
      <c r="A80" s="32"/>
      <c r="B80" s="35"/>
      <c r="C80" s="36"/>
      <c r="D80" s="4" t="s">
        <v>27</v>
      </c>
      <c r="E80" s="8">
        <f>E79-E78</f>
        <v>0</v>
      </c>
      <c r="F80" s="8">
        <f t="shared" ref="F80:P80" si="32">F79-F78</f>
        <v>0</v>
      </c>
      <c r="G80" s="8">
        <f t="shared" si="32"/>
        <v>0</v>
      </c>
      <c r="H80" s="8">
        <f t="shared" si="32"/>
        <v>0</v>
      </c>
      <c r="I80" s="8">
        <f t="shared" si="32"/>
        <v>0</v>
      </c>
      <c r="J80" s="8">
        <f t="shared" si="32"/>
        <v>0</v>
      </c>
      <c r="K80" s="8">
        <f t="shared" si="32"/>
        <v>0</v>
      </c>
      <c r="L80" s="8">
        <f t="shared" si="32"/>
        <v>0</v>
      </c>
      <c r="M80" s="8">
        <f t="shared" si="32"/>
        <v>0</v>
      </c>
      <c r="N80" s="8">
        <f t="shared" si="32"/>
        <v>0</v>
      </c>
      <c r="O80" s="8">
        <f t="shared" si="32"/>
        <v>0</v>
      </c>
      <c r="P80" s="10">
        <f t="shared" si="32"/>
        <v>0</v>
      </c>
      <c r="Q80" s="7">
        <f t="shared" si="28"/>
        <v>0</v>
      </c>
      <c r="R80" s="18"/>
      <c r="S80" s="19"/>
      <c r="T80" s="38"/>
    </row>
    <row r="81" spans="1:20" ht="17.25" thickTop="1" x14ac:dyDescent="0.4">
      <c r="A81" s="32"/>
      <c r="B81" s="35"/>
      <c r="C81" s="36"/>
      <c r="D81" s="4" t="s">
        <v>24</v>
      </c>
      <c r="E81" s="8"/>
      <c r="F81" s="8"/>
      <c r="G81" s="8"/>
      <c r="H81" s="8"/>
      <c r="I81" s="8"/>
      <c r="J81" s="8"/>
      <c r="K81" s="11"/>
      <c r="L81" s="11"/>
      <c r="M81" s="11"/>
      <c r="N81" s="11"/>
      <c r="O81" s="11"/>
      <c r="P81" s="17"/>
      <c r="Q81" s="7">
        <f t="shared" si="28"/>
        <v>0</v>
      </c>
      <c r="R81" s="8">
        <f>3108000*0.8625</f>
        <v>2680650</v>
      </c>
      <c r="S81" s="8">
        <f t="shared" si="2"/>
        <v>-2680650</v>
      </c>
      <c r="T81" s="42"/>
    </row>
    <row r="82" spans="1:20" x14ac:dyDescent="0.4">
      <c r="A82" s="32"/>
      <c r="B82" s="35"/>
      <c r="C82" s="36"/>
      <c r="D82" s="4" t="s">
        <v>26</v>
      </c>
      <c r="E82" s="8"/>
      <c r="F82" s="8"/>
      <c r="G82" s="8"/>
      <c r="H82" s="8"/>
      <c r="I82" s="8"/>
      <c r="J82" s="8"/>
      <c r="K82" s="11"/>
      <c r="L82" s="11"/>
      <c r="M82" s="11"/>
      <c r="N82" s="11"/>
      <c r="O82" s="11"/>
      <c r="P82" s="17"/>
      <c r="Q82" s="7">
        <f>SUM(E82:P82)</f>
        <v>0</v>
      </c>
      <c r="R82" s="8">
        <f>3024000*0.8625</f>
        <v>2608200</v>
      </c>
      <c r="S82" s="8">
        <f t="shared" ref="S82:S85" si="33">Q82-R82</f>
        <v>-2608200</v>
      </c>
      <c r="T82" s="33"/>
    </row>
    <row r="83" spans="1:20" ht="17.25" thickBot="1" x14ac:dyDescent="0.45">
      <c r="A83" s="39"/>
      <c r="B83" s="40"/>
      <c r="C83" s="41"/>
      <c r="D83" s="20" t="s">
        <v>27</v>
      </c>
      <c r="E83" s="19">
        <f>E82-E81</f>
        <v>0</v>
      </c>
      <c r="F83" s="19">
        <f>F82-F81</f>
        <v>0</v>
      </c>
      <c r="G83" s="19">
        <f>G82-G81</f>
        <v>0</v>
      </c>
      <c r="H83" s="19">
        <f t="shared" ref="H83:P83" si="34">H82-H81</f>
        <v>0</v>
      </c>
      <c r="I83" s="19">
        <f t="shared" si="34"/>
        <v>0</v>
      </c>
      <c r="J83" s="19">
        <f t="shared" si="34"/>
        <v>0</v>
      </c>
      <c r="K83" s="19">
        <f t="shared" si="34"/>
        <v>0</v>
      </c>
      <c r="L83" s="19">
        <f t="shared" si="34"/>
        <v>0</v>
      </c>
      <c r="M83" s="19">
        <f t="shared" si="34"/>
        <v>0</v>
      </c>
      <c r="N83" s="19">
        <f t="shared" si="34"/>
        <v>0</v>
      </c>
      <c r="O83" s="19">
        <f t="shared" si="34"/>
        <v>0</v>
      </c>
      <c r="P83" s="21">
        <f t="shared" si="34"/>
        <v>0</v>
      </c>
      <c r="Q83" s="22">
        <f>SUM(E83:P83)</f>
        <v>0</v>
      </c>
      <c r="R83" s="8"/>
      <c r="S83" s="8"/>
      <c r="T83" s="43"/>
    </row>
    <row r="84" spans="1:20" ht="18.75" customHeight="1" thickTop="1" x14ac:dyDescent="0.4">
      <c r="A84" s="31" t="s">
        <v>83</v>
      </c>
      <c r="B84" s="31"/>
      <c r="C84" s="31"/>
      <c r="D84" s="23" t="s">
        <v>24</v>
      </c>
      <c r="E84" s="24">
        <f>SUMIF($D$3:$D$83,$D84,E3:E83)</f>
        <v>0</v>
      </c>
      <c r="F84" s="24">
        <f t="shared" ref="F84:O84" si="35">SUMIF($D$3:$D$83,$D84,F3:F83)</f>
        <v>0</v>
      </c>
      <c r="G84" s="24">
        <f t="shared" si="35"/>
        <v>0</v>
      </c>
      <c r="H84" s="24">
        <f t="shared" si="35"/>
        <v>0</v>
      </c>
      <c r="I84" s="24">
        <f t="shared" si="35"/>
        <v>0</v>
      </c>
      <c r="J84" s="24">
        <f t="shared" si="35"/>
        <v>0</v>
      </c>
      <c r="K84" s="24">
        <f t="shared" si="35"/>
        <v>0</v>
      </c>
      <c r="L84" s="24">
        <f t="shared" si="35"/>
        <v>0</v>
      </c>
      <c r="M84" s="24">
        <f t="shared" si="35"/>
        <v>0</v>
      </c>
      <c r="N84" s="24">
        <f t="shared" si="35"/>
        <v>0</v>
      </c>
      <c r="O84" s="24">
        <f t="shared" si="35"/>
        <v>0</v>
      </c>
      <c r="P84" s="24">
        <f>SUMIF($D$3:$D$83,$D84,P3:P83)</f>
        <v>0</v>
      </c>
      <c r="Q84" s="25">
        <f>SUM(E84:P84)</f>
        <v>0</v>
      </c>
      <c r="R84" s="24">
        <f>SUM(E84:P84)</f>
        <v>0</v>
      </c>
      <c r="S84" s="24">
        <f t="shared" si="33"/>
        <v>0</v>
      </c>
      <c r="T84" s="33"/>
    </row>
    <row r="85" spans="1:20" x14ac:dyDescent="0.4">
      <c r="A85" s="32"/>
      <c r="B85" s="32"/>
      <c r="C85" s="32"/>
      <c r="D85" s="4" t="s">
        <v>26</v>
      </c>
      <c r="E85" s="8">
        <f>SUMIF($D$3:$D$83,$D85,E3:E83)</f>
        <v>0</v>
      </c>
      <c r="F85" s="8">
        <f t="shared" ref="F85:O85" si="36">SUMIF($D$3:$D$83,$D85,F3:F83)</f>
        <v>0</v>
      </c>
      <c r="G85" s="8">
        <f t="shared" si="36"/>
        <v>0</v>
      </c>
      <c r="H85" s="8">
        <f t="shared" si="36"/>
        <v>0</v>
      </c>
      <c r="I85" s="8">
        <f t="shared" si="36"/>
        <v>0</v>
      </c>
      <c r="J85" s="8">
        <f t="shared" si="36"/>
        <v>0</v>
      </c>
      <c r="K85" s="8">
        <f t="shared" si="36"/>
        <v>0</v>
      </c>
      <c r="L85" s="8">
        <f t="shared" si="36"/>
        <v>0</v>
      </c>
      <c r="M85" s="8">
        <f t="shared" si="36"/>
        <v>0</v>
      </c>
      <c r="N85" s="8">
        <f t="shared" si="36"/>
        <v>0</v>
      </c>
      <c r="O85" s="8">
        <f t="shared" si="36"/>
        <v>0</v>
      </c>
      <c r="P85" s="8">
        <f>SUMIF($D$3:$D$83,$D85,P3:P83)</f>
        <v>0</v>
      </c>
      <c r="Q85" s="7">
        <f>SUM(E85:P85)</f>
        <v>0</v>
      </c>
      <c r="R85" s="8">
        <f t="shared" ref="R85" si="37">SUM(E85:P85)</f>
        <v>0</v>
      </c>
      <c r="S85" s="8">
        <f t="shared" si="33"/>
        <v>0</v>
      </c>
      <c r="T85" s="33"/>
    </row>
    <row r="86" spans="1:20" x14ac:dyDescent="0.4">
      <c r="A86" s="32"/>
      <c r="B86" s="32"/>
      <c r="C86" s="32"/>
      <c r="D86" s="4" t="s">
        <v>27</v>
      </c>
      <c r="E86" s="8">
        <f>E85-E84</f>
        <v>0</v>
      </c>
      <c r="F86" s="8">
        <f t="shared" ref="F86:O86" si="38">F85-F84</f>
        <v>0</v>
      </c>
      <c r="G86" s="8">
        <f t="shared" si="38"/>
        <v>0</v>
      </c>
      <c r="H86" s="8">
        <f t="shared" si="38"/>
        <v>0</v>
      </c>
      <c r="I86" s="8">
        <f t="shared" si="38"/>
        <v>0</v>
      </c>
      <c r="J86" s="8">
        <f t="shared" si="38"/>
        <v>0</v>
      </c>
      <c r="K86" s="8">
        <f t="shared" si="38"/>
        <v>0</v>
      </c>
      <c r="L86" s="8">
        <f t="shared" si="38"/>
        <v>0</v>
      </c>
      <c r="M86" s="8">
        <f t="shared" si="38"/>
        <v>0</v>
      </c>
      <c r="N86" s="8">
        <f t="shared" si="38"/>
        <v>0</v>
      </c>
      <c r="O86" s="8">
        <f t="shared" si="38"/>
        <v>0</v>
      </c>
      <c r="P86" s="8">
        <f>P85-P84</f>
        <v>0</v>
      </c>
      <c r="Q86" s="7">
        <f>SUM(E86:P86)</f>
        <v>0</v>
      </c>
      <c r="R86" s="26"/>
      <c r="S86" s="26"/>
      <c r="T86" s="34"/>
    </row>
  </sheetData>
  <mergeCells count="119">
    <mergeCell ref="R1:R2"/>
    <mergeCell ref="S1:S2"/>
    <mergeCell ref="T1:T2"/>
    <mergeCell ref="A3:A5"/>
    <mergeCell ref="B3:B5"/>
    <mergeCell ref="C3:C5"/>
    <mergeCell ref="T3:T5"/>
    <mergeCell ref="A1:A2"/>
    <mergeCell ref="B1:B2"/>
    <mergeCell ref="C1:C2"/>
    <mergeCell ref="D1:D2"/>
    <mergeCell ref="E1:P1"/>
    <mergeCell ref="Q1:Q2"/>
    <mergeCell ref="A12:A14"/>
    <mergeCell ref="B12:B14"/>
    <mergeCell ref="C12:C14"/>
    <mergeCell ref="T12:T14"/>
    <mergeCell ref="A15:A17"/>
    <mergeCell ref="B15:B17"/>
    <mergeCell ref="C15:C17"/>
    <mergeCell ref="T15:T17"/>
    <mergeCell ref="A6:A8"/>
    <mergeCell ref="B6:B8"/>
    <mergeCell ref="C6:C8"/>
    <mergeCell ref="T6:T8"/>
    <mergeCell ref="A9:A11"/>
    <mergeCell ref="B9:B11"/>
    <mergeCell ref="C9:C11"/>
    <mergeCell ref="T9:T11"/>
    <mergeCell ref="A24:A26"/>
    <mergeCell ref="B24:B26"/>
    <mergeCell ref="C24:C26"/>
    <mergeCell ref="T24:T26"/>
    <mergeCell ref="A27:A29"/>
    <mergeCell ref="B27:B29"/>
    <mergeCell ref="C27:C29"/>
    <mergeCell ref="T27:T29"/>
    <mergeCell ref="A18:A20"/>
    <mergeCell ref="B18:B20"/>
    <mergeCell ref="C18:C20"/>
    <mergeCell ref="T18:T20"/>
    <mergeCell ref="A21:A23"/>
    <mergeCell ref="B21:B23"/>
    <mergeCell ref="C21:C23"/>
    <mergeCell ref="T21:T23"/>
    <mergeCell ref="A36:A38"/>
    <mergeCell ref="B36:B38"/>
    <mergeCell ref="C36:C38"/>
    <mergeCell ref="T36:T38"/>
    <mergeCell ref="A39:A41"/>
    <mergeCell ref="B39:B41"/>
    <mergeCell ref="C39:C41"/>
    <mergeCell ref="T39:T41"/>
    <mergeCell ref="A30:A32"/>
    <mergeCell ref="B30:B32"/>
    <mergeCell ref="C30:C32"/>
    <mergeCell ref="T30:T32"/>
    <mergeCell ref="A33:A35"/>
    <mergeCell ref="B33:B35"/>
    <mergeCell ref="C33:C35"/>
    <mergeCell ref="T33:T35"/>
    <mergeCell ref="A48:A50"/>
    <mergeCell ref="B48:B50"/>
    <mergeCell ref="C48:C50"/>
    <mergeCell ref="T48:T50"/>
    <mergeCell ref="A51:A53"/>
    <mergeCell ref="B51:B53"/>
    <mergeCell ref="C51:C53"/>
    <mergeCell ref="T51:T53"/>
    <mergeCell ref="A42:A44"/>
    <mergeCell ref="B42:B44"/>
    <mergeCell ref="C42:C44"/>
    <mergeCell ref="T42:T44"/>
    <mergeCell ref="A45:A47"/>
    <mergeCell ref="B45:B47"/>
    <mergeCell ref="C45:C47"/>
    <mergeCell ref="T45:T47"/>
    <mergeCell ref="A60:A62"/>
    <mergeCell ref="B60:B62"/>
    <mergeCell ref="C60:C62"/>
    <mergeCell ref="T60:T62"/>
    <mergeCell ref="A63:A65"/>
    <mergeCell ref="B63:B65"/>
    <mergeCell ref="C63:C65"/>
    <mergeCell ref="T63:T65"/>
    <mergeCell ref="A54:A56"/>
    <mergeCell ref="B54:B56"/>
    <mergeCell ref="C54:C56"/>
    <mergeCell ref="T54:T56"/>
    <mergeCell ref="A57:A59"/>
    <mergeCell ref="B57:B59"/>
    <mergeCell ref="C57:C59"/>
    <mergeCell ref="T57:T59"/>
    <mergeCell ref="A72:A74"/>
    <mergeCell ref="B72:B74"/>
    <mergeCell ref="C72:C74"/>
    <mergeCell ref="T72:T74"/>
    <mergeCell ref="A75:A77"/>
    <mergeCell ref="B75:B77"/>
    <mergeCell ref="C75:C77"/>
    <mergeCell ref="T75:T77"/>
    <mergeCell ref="A66:A68"/>
    <mergeCell ref="B66:B68"/>
    <mergeCell ref="C66:C68"/>
    <mergeCell ref="T66:T68"/>
    <mergeCell ref="A69:A71"/>
    <mergeCell ref="B69:B71"/>
    <mergeCell ref="C69:C71"/>
    <mergeCell ref="T69:T71"/>
    <mergeCell ref="A84:C86"/>
    <mergeCell ref="T84:T86"/>
    <mergeCell ref="A78:A80"/>
    <mergeCell ref="B78:B80"/>
    <mergeCell ref="C78:C80"/>
    <mergeCell ref="T78:T80"/>
    <mergeCell ref="A81:A83"/>
    <mergeCell ref="B81:B83"/>
    <mergeCell ref="C81:C83"/>
    <mergeCell ref="T81:T83"/>
  </mergeCells>
  <phoneticPr fontId="3"/>
  <conditionalFormatting sqref="D3:Q86">
    <cfRule type="expression" dxfId="1" priority="1" stopIfTrue="1">
      <formula>$D3="削減額"</formula>
    </cfRule>
  </conditionalFormatting>
  <pageMargins left="0.25" right="0.25" top="0.75" bottom="0.75" header="0.3" footer="0.3"/>
  <pageSetup paperSize="8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5EDE7-A6D6-471D-9B9D-F20C38405101}">
  <sheetPr>
    <pageSetUpPr fitToPage="1"/>
  </sheetPr>
  <dimension ref="A1:T86"/>
  <sheetViews>
    <sheetView tabSelected="1" zoomScale="70" zoomScaleNormal="70" workbookViewId="0">
      <pane xSplit="3" ySplit="2" topLeftCell="D48" activePane="bottomRight" state="frozen"/>
      <selection pane="topRight" activeCell="D1" sqref="D1"/>
      <selection pane="bottomLeft" activeCell="A3" sqref="A3"/>
      <selection pane="bottomRight" activeCell="I69" sqref="I69"/>
    </sheetView>
  </sheetViews>
  <sheetFormatPr defaultColWidth="9" defaultRowHeight="16.5" x14ac:dyDescent="0.4"/>
  <cols>
    <col min="1" max="1" width="10.625" style="27" customWidth="1"/>
    <col min="2" max="2" width="8.625" style="28" customWidth="1"/>
    <col min="3" max="3" width="45.625" style="29" customWidth="1"/>
    <col min="4" max="4" width="8.625" style="9" customWidth="1"/>
    <col min="5" max="16" width="11.625" style="12" customWidth="1"/>
    <col min="17" max="17" width="11.5" style="12" customWidth="1"/>
    <col min="18" max="18" width="11.25" style="12" hidden="1" customWidth="1"/>
    <col min="19" max="19" width="8.25" style="12" hidden="1" customWidth="1"/>
    <col min="20" max="20" width="70.5" style="30" customWidth="1"/>
    <col min="21" max="16384" width="9" style="12"/>
  </cols>
  <sheetData>
    <row r="1" spans="1:20" s="1" customFormat="1" ht="18.75" customHeight="1" x14ac:dyDescent="0.4">
      <c r="A1" s="68" t="s">
        <v>0</v>
      </c>
      <c r="B1" s="69" t="s">
        <v>1</v>
      </c>
      <c r="C1" s="68" t="s">
        <v>2</v>
      </c>
      <c r="D1" s="68" t="s">
        <v>3</v>
      </c>
      <c r="E1" s="68" t="s">
        <v>4</v>
      </c>
      <c r="F1" s="68"/>
      <c r="G1" s="68"/>
      <c r="H1" s="68"/>
      <c r="I1" s="68"/>
      <c r="J1" s="68"/>
      <c r="K1" s="68"/>
      <c r="L1" s="68"/>
      <c r="M1" s="68"/>
      <c r="N1" s="68"/>
      <c r="O1" s="68"/>
      <c r="P1" s="70"/>
      <c r="Q1" s="71" t="s">
        <v>5</v>
      </c>
      <c r="R1" s="66" t="s">
        <v>6</v>
      </c>
      <c r="S1" s="66" t="s">
        <v>7</v>
      </c>
      <c r="T1" s="68" t="s">
        <v>8</v>
      </c>
    </row>
    <row r="2" spans="1:20" s="1" customFormat="1" x14ac:dyDescent="0.4">
      <c r="A2" s="68"/>
      <c r="B2" s="69"/>
      <c r="C2" s="68"/>
      <c r="D2" s="68"/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3" t="s">
        <v>20</v>
      </c>
      <c r="Q2" s="72"/>
      <c r="R2" s="67"/>
      <c r="S2" s="66"/>
      <c r="T2" s="68"/>
    </row>
    <row r="3" spans="1:20" s="9" customFormat="1" x14ac:dyDescent="0.4">
      <c r="A3" s="32" t="s">
        <v>21</v>
      </c>
      <c r="B3" s="35" t="s">
        <v>22</v>
      </c>
      <c r="C3" s="36" t="s">
        <v>23</v>
      </c>
      <c r="D3" s="4" t="s">
        <v>24</v>
      </c>
      <c r="E3" s="5">
        <f>14000*6</f>
        <v>84000</v>
      </c>
      <c r="F3" s="5">
        <f>14000*6</f>
        <v>84000</v>
      </c>
      <c r="G3" s="5">
        <f t="shared" ref="G3:P3" si="0">14000*6</f>
        <v>84000</v>
      </c>
      <c r="H3" s="5">
        <f t="shared" si="0"/>
        <v>84000</v>
      </c>
      <c r="I3" s="5">
        <f t="shared" si="0"/>
        <v>84000</v>
      </c>
      <c r="J3" s="5">
        <f t="shared" si="0"/>
        <v>84000</v>
      </c>
      <c r="K3" s="5">
        <f t="shared" si="0"/>
        <v>84000</v>
      </c>
      <c r="L3" s="5">
        <f t="shared" si="0"/>
        <v>84000</v>
      </c>
      <c r="M3" s="5">
        <f t="shared" si="0"/>
        <v>84000</v>
      </c>
      <c r="N3" s="5">
        <f t="shared" si="0"/>
        <v>84000</v>
      </c>
      <c r="O3" s="5">
        <f t="shared" si="0"/>
        <v>84000</v>
      </c>
      <c r="P3" s="6">
        <f t="shared" si="0"/>
        <v>84000</v>
      </c>
      <c r="Q3" s="7">
        <f>SUM(E3:P3)</f>
        <v>1008000</v>
      </c>
      <c r="R3" s="8">
        <f>1008000/12*11</f>
        <v>924000</v>
      </c>
      <c r="S3" s="8">
        <f>Q3-R3</f>
        <v>84000</v>
      </c>
      <c r="T3" s="58" t="s">
        <v>25</v>
      </c>
    </row>
    <row r="4" spans="1:20" s="9" customFormat="1" x14ac:dyDescent="0.4">
      <c r="A4" s="32"/>
      <c r="B4" s="35"/>
      <c r="C4" s="36"/>
      <c r="D4" s="4" t="s">
        <v>26</v>
      </c>
      <c r="E4" s="5">
        <f>14000*6</f>
        <v>84000</v>
      </c>
      <c r="F4" s="5">
        <f>(800*8)*6</f>
        <v>38400</v>
      </c>
      <c r="G4" s="5">
        <f t="shared" ref="G4:P4" si="1">(800*8)*6</f>
        <v>38400</v>
      </c>
      <c r="H4" s="5">
        <f t="shared" si="1"/>
        <v>38400</v>
      </c>
      <c r="I4" s="5">
        <f t="shared" si="1"/>
        <v>38400</v>
      </c>
      <c r="J4" s="5">
        <f t="shared" si="1"/>
        <v>38400</v>
      </c>
      <c r="K4" s="5">
        <f t="shared" si="1"/>
        <v>38400</v>
      </c>
      <c r="L4" s="5">
        <f t="shared" si="1"/>
        <v>38400</v>
      </c>
      <c r="M4" s="5">
        <f t="shared" si="1"/>
        <v>38400</v>
      </c>
      <c r="N4" s="5">
        <f t="shared" si="1"/>
        <v>38400</v>
      </c>
      <c r="O4" s="5">
        <f t="shared" si="1"/>
        <v>38400</v>
      </c>
      <c r="P4" s="6">
        <f t="shared" si="1"/>
        <v>38400</v>
      </c>
      <c r="Q4" s="7">
        <f>SUM(E4:P4)</f>
        <v>506400</v>
      </c>
      <c r="R4" s="8">
        <f>460800/12*11</f>
        <v>422400</v>
      </c>
      <c r="S4" s="8">
        <f>Q4-R4</f>
        <v>84000</v>
      </c>
      <c r="T4" s="33"/>
    </row>
    <row r="5" spans="1:20" s="9" customFormat="1" x14ac:dyDescent="0.4">
      <c r="A5" s="32"/>
      <c r="B5" s="35"/>
      <c r="C5" s="36"/>
      <c r="D5" s="4" t="s">
        <v>27</v>
      </c>
      <c r="E5" s="8">
        <f>E4-E3</f>
        <v>0</v>
      </c>
      <c r="F5" s="8">
        <f t="shared" ref="F5:P5" si="2">F4-F3</f>
        <v>-45600</v>
      </c>
      <c r="G5" s="8">
        <f t="shared" si="2"/>
        <v>-45600</v>
      </c>
      <c r="H5" s="8">
        <f t="shared" si="2"/>
        <v>-45600</v>
      </c>
      <c r="I5" s="8">
        <f t="shared" si="2"/>
        <v>-45600</v>
      </c>
      <c r="J5" s="8">
        <f t="shared" si="2"/>
        <v>-45600</v>
      </c>
      <c r="K5" s="8">
        <f t="shared" si="2"/>
        <v>-45600</v>
      </c>
      <c r="L5" s="8">
        <f t="shared" si="2"/>
        <v>-45600</v>
      </c>
      <c r="M5" s="8">
        <f t="shared" si="2"/>
        <v>-45600</v>
      </c>
      <c r="N5" s="8">
        <f t="shared" si="2"/>
        <v>-45600</v>
      </c>
      <c r="O5" s="8">
        <f t="shared" si="2"/>
        <v>-45600</v>
      </c>
      <c r="P5" s="10">
        <f t="shared" si="2"/>
        <v>-45600</v>
      </c>
      <c r="Q5" s="7">
        <f>SUM(E5:P5)</f>
        <v>-501600</v>
      </c>
      <c r="R5" s="8"/>
      <c r="S5" s="8"/>
      <c r="T5" s="34"/>
    </row>
    <row r="6" spans="1:20" s="9" customFormat="1" x14ac:dyDescent="0.4">
      <c r="A6" s="32" t="s">
        <v>21</v>
      </c>
      <c r="B6" s="35" t="s">
        <v>22</v>
      </c>
      <c r="C6" s="36" t="s">
        <v>28</v>
      </c>
      <c r="D6" s="4" t="s">
        <v>24</v>
      </c>
      <c r="E6" s="5">
        <f>6000*33</f>
        <v>198000</v>
      </c>
      <c r="F6" s="5">
        <f>6000*33</f>
        <v>198000</v>
      </c>
      <c r="G6" s="5">
        <f t="shared" ref="G6:P6" si="3">6000*33</f>
        <v>198000</v>
      </c>
      <c r="H6" s="5">
        <f t="shared" si="3"/>
        <v>198000</v>
      </c>
      <c r="I6" s="5">
        <f t="shared" si="3"/>
        <v>198000</v>
      </c>
      <c r="J6" s="5">
        <f t="shared" si="3"/>
        <v>198000</v>
      </c>
      <c r="K6" s="5">
        <f t="shared" si="3"/>
        <v>198000</v>
      </c>
      <c r="L6" s="5">
        <f t="shared" si="3"/>
        <v>198000</v>
      </c>
      <c r="M6" s="5">
        <f t="shared" si="3"/>
        <v>198000</v>
      </c>
      <c r="N6" s="5">
        <f t="shared" si="3"/>
        <v>198000</v>
      </c>
      <c r="O6" s="5">
        <f t="shared" si="3"/>
        <v>198000</v>
      </c>
      <c r="P6" s="6">
        <f t="shared" si="3"/>
        <v>198000</v>
      </c>
      <c r="Q6" s="7">
        <f>SUM(E6:P6)</f>
        <v>2376000</v>
      </c>
      <c r="R6" s="8">
        <f>2376000/12*11</f>
        <v>2178000</v>
      </c>
      <c r="S6" s="8">
        <f>Q6-R6</f>
        <v>198000</v>
      </c>
      <c r="T6" s="58" t="s">
        <v>29</v>
      </c>
    </row>
    <row r="7" spans="1:20" s="9" customFormat="1" x14ac:dyDescent="0.4">
      <c r="A7" s="32"/>
      <c r="B7" s="35"/>
      <c r="C7" s="36"/>
      <c r="D7" s="4" t="s">
        <v>26</v>
      </c>
      <c r="E7" s="5">
        <f>6000*33</f>
        <v>198000</v>
      </c>
      <c r="F7" s="5">
        <f>31000/6*33</f>
        <v>170500</v>
      </c>
      <c r="G7" s="5">
        <f t="shared" ref="G7:P7" si="4">31000/6*33</f>
        <v>170500</v>
      </c>
      <c r="H7" s="5">
        <f t="shared" si="4"/>
        <v>170500</v>
      </c>
      <c r="I7" s="5">
        <f t="shared" si="4"/>
        <v>170500</v>
      </c>
      <c r="J7" s="5">
        <f t="shared" si="4"/>
        <v>170500</v>
      </c>
      <c r="K7" s="5">
        <f t="shared" si="4"/>
        <v>170500</v>
      </c>
      <c r="L7" s="5">
        <f t="shared" si="4"/>
        <v>170500</v>
      </c>
      <c r="M7" s="5">
        <f t="shared" si="4"/>
        <v>170500</v>
      </c>
      <c r="N7" s="5">
        <f t="shared" si="4"/>
        <v>170500</v>
      </c>
      <c r="O7" s="5">
        <f t="shared" si="4"/>
        <v>170500</v>
      </c>
      <c r="P7" s="6">
        <f t="shared" si="4"/>
        <v>170500</v>
      </c>
      <c r="Q7" s="7">
        <f t="shared" ref="Q7:Q50" si="5">SUM(E7:P7)</f>
        <v>2073500</v>
      </c>
      <c r="R7" s="8">
        <f>2046000/12*11</f>
        <v>1875500</v>
      </c>
      <c r="S7" s="8">
        <f t="shared" ref="S7:S81" si="6">Q7-R7</f>
        <v>198000</v>
      </c>
      <c r="T7" s="33"/>
    </row>
    <row r="8" spans="1:20" s="9" customFormat="1" x14ac:dyDescent="0.4">
      <c r="A8" s="32"/>
      <c r="B8" s="35"/>
      <c r="C8" s="36"/>
      <c r="D8" s="4" t="s">
        <v>27</v>
      </c>
      <c r="E8" s="8">
        <f>E7-E6</f>
        <v>0</v>
      </c>
      <c r="F8" s="8">
        <f t="shared" ref="F8:P8" si="7">F7-F6</f>
        <v>-27500</v>
      </c>
      <c r="G8" s="8">
        <f t="shared" si="7"/>
        <v>-27500</v>
      </c>
      <c r="H8" s="8">
        <f t="shared" si="7"/>
        <v>-27500</v>
      </c>
      <c r="I8" s="8">
        <f t="shared" si="7"/>
        <v>-27500</v>
      </c>
      <c r="J8" s="8">
        <f t="shared" si="7"/>
        <v>-27500</v>
      </c>
      <c r="K8" s="8">
        <f t="shared" si="7"/>
        <v>-27500</v>
      </c>
      <c r="L8" s="8">
        <f t="shared" si="7"/>
        <v>-27500</v>
      </c>
      <c r="M8" s="8">
        <f t="shared" si="7"/>
        <v>-27500</v>
      </c>
      <c r="N8" s="8">
        <f t="shared" si="7"/>
        <v>-27500</v>
      </c>
      <c r="O8" s="8">
        <f t="shared" si="7"/>
        <v>-27500</v>
      </c>
      <c r="P8" s="10">
        <f t="shared" si="7"/>
        <v>-27500</v>
      </c>
      <c r="Q8" s="7">
        <f t="shared" si="5"/>
        <v>-302500</v>
      </c>
      <c r="R8" s="8"/>
      <c r="S8" s="8"/>
      <c r="T8" s="34"/>
    </row>
    <row r="9" spans="1:20" s="9" customFormat="1" x14ac:dyDescent="0.4">
      <c r="A9" s="32" t="s">
        <v>21</v>
      </c>
      <c r="B9" s="35" t="s">
        <v>22</v>
      </c>
      <c r="C9" s="36" t="s">
        <v>30</v>
      </c>
      <c r="D9" s="4" t="s">
        <v>24</v>
      </c>
      <c r="E9" s="5">
        <f>37000/6</f>
        <v>6166.666666666667</v>
      </c>
      <c r="F9" s="5">
        <f>37000/6</f>
        <v>6166.666666666667</v>
      </c>
      <c r="G9" s="5">
        <f t="shared" ref="G9:P9" si="8">37000/6</f>
        <v>6166.666666666667</v>
      </c>
      <c r="H9" s="5">
        <f t="shared" si="8"/>
        <v>6166.666666666667</v>
      </c>
      <c r="I9" s="5">
        <f t="shared" si="8"/>
        <v>6166.666666666667</v>
      </c>
      <c r="J9" s="5">
        <f t="shared" si="8"/>
        <v>6166.666666666667</v>
      </c>
      <c r="K9" s="5">
        <f t="shared" si="8"/>
        <v>6166.666666666667</v>
      </c>
      <c r="L9" s="5">
        <f t="shared" si="8"/>
        <v>6166.666666666667</v>
      </c>
      <c r="M9" s="5">
        <f t="shared" si="8"/>
        <v>6166.666666666667</v>
      </c>
      <c r="N9" s="5">
        <f t="shared" si="8"/>
        <v>6166.666666666667</v>
      </c>
      <c r="O9" s="5">
        <f t="shared" si="8"/>
        <v>6166.666666666667</v>
      </c>
      <c r="P9" s="6">
        <f t="shared" si="8"/>
        <v>6166.666666666667</v>
      </c>
      <c r="Q9" s="7">
        <f t="shared" si="5"/>
        <v>74000</v>
      </c>
      <c r="R9" s="8">
        <f>74000/12*11</f>
        <v>67833.333333333343</v>
      </c>
      <c r="S9" s="8">
        <f t="shared" si="6"/>
        <v>6166.666666666657</v>
      </c>
      <c r="T9" s="58" t="s">
        <v>31</v>
      </c>
    </row>
    <row r="10" spans="1:20" s="9" customFormat="1" x14ac:dyDescent="0.4">
      <c r="A10" s="32"/>
      <c r="B10" s="35"/>
      <c r="C10" s="36"/>
      <c r="D10" s="4" t="s">
        <v>26</v>
      </c>
      <c r="E10" s="5">
        <f>37000/6</f>
        <v>6166.666666666667</v>
      </c>
      <c r="F10" s="5">
        <f>37000/6</f>
        <v>6166.666666666667</v>
      </c>
      <c r="G10" s="5">
        <f>3000</f>
        <v>3000</v>
      </c>
      <c r="H10" s="5">
        <f>3000</f>
        <v>3000</v>
      </c>
      <c r="I10" s="5">
        <f>3000</f>
        <v>3000</v>
      </c>
      <c r="J10" s="5">
        <f>3000</f>
        <v>3000</v>
      </c>
      <c r="K10" s="5">
        <f>3000</f>
        <v>3000</v>
      </c>
      <c r="L10" s="5">
        <f>3000</f>
        <v>3000</v>
      </c>
      <c r="M10" s="5">
        <f>3000</f>
        <v>3000</v>
      </c>
      <c r="N10" s="5">
        <f>3000</f>
        <v>3000</v>
      </c>
      <c r="O10" s="5">
        <f>3000</f>
        <v>3000</v>
      </c>
      <c r="P10" s="6">
        <f>3000</f>
        <v>3000</v>
      </c>
      <c r="Q10" s="7">
        <f t="shared" si="5"/>
        <v>42333.333333333336</v>
      </c>
      <c r="R10" s="8">
        <f>36000/12*11</f>
        <v>33000</v>
      </c>
      <c r="S10" s="8">
        <f t="shared" si="6"/>
        <v>9333.3333333333358</v>
      </c>
      <c r="T10" s="33"/>
    </row>
    <row r="11" spans="1:20" s="9" customFormat="1" x14ac:dyDescent="0.4">
      <c r="A11" s="32"/>
      <c r="B11" s="35"/>
      <c r="C11" s="36"/>
      <c r="D11" s="4" t="s">
        <v>27</v>
      </c>
      <c r="E11" s="8">
        <f>E10-E9</f>
        <v>0</v>
      </c>
      <c r="F11" s="8">
        <f t="shared" ref="F11:P11" si="9">F10-F9</f>
        <v>0</v>
      </c>
      <c r="G11" s="8">
        <f t="shared" si="9"/>
        <v>-3166.666666666667</v>
      </c>
      <c r="H11" s="8">
        <f t="shared" si="9"/>
        <v>-3166.666666666667</v>
      </c>
      <c r="I11" s="8">
        <f t="shared" si="9"/>
        <v>-3166.666666666667</v>
      </c>
      <c r="J11" s="8">
        <f t="shared" si="9"/>
        <v>-3166.666666666667</v>
      </c>
      <c r="K11" s="8">
        <f t="shared" si="9"/>
        <v>-3166.666666666667</v>
      </c>
      <c r="L11" s="8">
        <f t="shared" si="9"/>
        <v>-3166.666666666667</v>
      </c>
      <c r="M11" s="8">
        <f t="shared" si="9"/>
        <v>-3166.666666666667</v>
      </c>
      <c r="N11" s="8">
        <f t="shared" si="9"/>
        <v>-3166.666666666667</v>
      </c>
      <c r="O11" s="8">
        <f t="shared" si="9"/>
        <v>-3166.666666666667</v>
      </c>
      <c r="P11" s="10">
        <f t="shared" si="9"/>
        <v>-3166.666666666667</v>
      </c>
      <c r="Q11" s="7">
        <f t="shared" si="5"/>
        <v>-31666.666666666675</v>
      </c>
      <c r="R11" s="8"/>
      <c r="S11" s="8"/>
      <c r="T11" s="34"/>
    </row>
    <row r="12" spans="1:20" x14ac:dyDescent="0.4">
      <c r="A12" s="32" t="s">
        <v>32</v>
      </c>
      <c r="B12" s="35" t="s">
        <v>22</v>
      </c>
      <c r="C12" s="36" t="s">
        <v>33</v>
      </c>
      <c r="D12" s="4" t="s">
        <v>24</v>
      </c>
      <c r="E12" s="5">
        <f>(39000+5000+25000)</f>
        <v>69000</v>
      </c>
      <c r="F12" s="11">
        <v>0</v>
      </c>
      <c r="G12" s="5">
        <f>(39000+5000+25000)</f>
        <v>69000</v>
      </c>
      <c r="H12" s="11">
        <v>0</v>
      </c>
      <c r="I12" s="5">
        <f>(39000+5000+25000)</f>
        <v>69000</v>
      </c>
      <c r="J12" s="11">
        <v>0</v>
      </c>
      <c r="K12" s="5">
        <f>(39000+5000+25000)</f>
        <v>69000</v>
      </c>
      <c r="L12" s="11">
        <v>0</v>
      </c>
      <c r="M12" s="5">
        <f>(39000+5000+25000)</f>
        <v>69000</v>
      </c>
      <c r="N12" s="8">
        <v>0</v>
      </c>
      <c r="O12" s="5">
        <f>(39000+5000+25000)</f>
        <v>69000</v>
      </c>
      <c r="P12" s="10">
        <v>0</v>
      </c>
      <c r="Q12" s="7">
        <f t="shared" si="5"/>
        <v>414000</v>
      </c>
      <c r="R12" s="8">
        <f>409800</f>
        <v>409800</v>
      </c>
      <c r="S12" s="8">
        <f t="shared" si="6"/>
        <v>4200</v>
      </c>
      <c r="T12" s="42" t="s">
        <v>34</v>
      </c>
    </row>
    <row r="13" spans="1:20" x14ac:dyDescent="0.4">
      <c r="A13" s="32"/>
      <c r="B13" s="35"/>
      <c r="C13" s="36"/>
      <c r="D13" s="4" t="s">
        <v>26</v>
      </c>
      <c r="E13" s="5">
        <f>(24000+480+9000)</f>
        <v>33480</v>
      </c>
      <c r="F13" s="8">
        <v>0</v>
      </c>
      <c r="G13" s="5">
        <f>(24000+480+9000)</f>
        <v>33480</v>
      </c>
      <c r="H13" s="8">
        <v>0</v>
      </c>
      <c r="I13" s="5">
        <f>(24000+480+9000)</f>
        <v>33480</v>
      </c>
      <c r="J13" s="8">
        <v>0</v>
      </c>
      <c r="K13" s="5">
        <f>(24000+480+9000)</f>
        <v>33480</v>
      </c>
      <c r="L13" s="8">
        <v>0</v>
      </c>
      <c r="M13" s="5">
        <f>(24000+480+9000)</f>
        <v>33480</v>
      </c>
      <c r="N13" s="8">
        <v>0</v>
      </c>
      <c r="O13" s="5">
        <f>(24000+480+9000)</f>
        <v>33480</v>
      </c>
      <c r="P13" s="10">
        <v>0</v>
      </c>
      <c r="Q13" s="7">
        <f t="shared" si="5"/>
        <v>200880</v>
      </c>
      <c r="R13" s="8">
        <f>230880</f>
        <v>230880</v>
      </c>
      <c r="S13" s="8">
        <f t="shared" si="6"/>
        <v>-30000</v>
      </c>
      <c r="T13" s="33"/>
    </row>
    <row r="14" spans="1:20" x14ac:dyDescent="0.4">
      <c r="A14" s="32"/>
      <c r="B14" s="35"/>
      <c r="C14" s="36"/>
      <c r="D14" s="4" t="s">
        <v>27</v>
      </c>
      <c r="E14" s="8">
        <f>E13-E12</f>
        <v>-35520</v>
      </c>
      <c r="F14" s="8">
        <f t="shared" ref="F14:K14" si="10">F13-F12</f>
        <v>0</v>
      </c>
      <c r="G14" s="8">
        <f t="shared" si="10"/>
        <v>-35520</v>
      </c>
      <c r="H14" s="8">
        <f t="shared" si="10"/>
        <v>0</v>
      </c>
      <c r="I14" s="8">
        <f t="shared" si="10"/>
        <v>-35520</v>
      </c>
      <c r="J14" s="8">
        <f t="shared" si="10"/>
        <v>0</v>
      </c>
      <c r="K14" s="8">
        <f t="shared" si="10"/>
        <v>-35520</v>
      </c>
      <c r="L14" s="8">
        <f>L13-L12</f>
        <v>0</v>
      </c>
      <c r="M14" s="8">
        <f t="shared" ref="M14:P14" si="11">M13-M12</f>
        <v>-35520</v>
      </c>
      <c r="N14" s="8">
        <f t="shared" si="11"/>
        <v>0</v>
      </c>
      <c r="O14" s="8">
        <f t="shared" si="11"/>
        <v>-35520</v>
      </c>
      <c r="P14" s="10">
        <f t="shared" si="11"/>
        <v>0</v>
      </c>
      <c r="Q14" s="7">
        <f t="shared" si="5"/>
        <v>-213120</v>
      </c>
      <c r="R14" s="8"/>
      <c r="S14" s="8"/>
      <c r="T14" s="34"/>
    </row>
    <row r="15" spans="1:20" x14ac:dyDescent="0.4">
      <c r="A15" s="32" t="s">
        <v>32</v>
      </c>
      <c r="B15" s="35" t="s">
        <v>35</v>
      </c>
      <c r="C15" s="36" t="s">
        <v>36</v>
      </c>
      <c r="D15" s="4" t="s">
        <v>24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5">
        <f>12000*7*2</f>
        <v>168000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10">
        <v>0</v>
      </c>
      <c r="Q15" s="7">
        <f t="shared" si="5"/>
        <v>168000</v>
      </c>
      <c r="R15" s="8">
        <f>168000</f>
        <v>168000</v>
      </c>
      <c r="S15" s="8">
        <f t="shared" si="6"/>
        <v>0</v>
      </c>
      <c r="T15" s="58" t="s">
        <v>37</v>
      </c>
    </row>
    <row r="16" spans="1:20" x14ac:dyDescent="0.4">
      <c r="A16" s="32"/>
      <c r="B16" s="35"/>
      <c r="C16" s="36"/>
      <c r="D16" s="4" t="s">
        <v>26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5">
        <f>37000*2</f>
        <v>74000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0">
        <v>0</v>
      </c>
      <c r="Q16" s="7">
        <f t="shared" si="5"/>
        <v>74000</v>
      </c>
      <c r="R16" s="8">
        <f>74000</f>
        <v>74000</v>
      </c>
      <c r="S16" s="8">
        <f t="shared" si="6"/>
        <v>0</v>
      </c>
      <c r="T16" s="33"/>
    </row>
    <row r="17" spans="1:20" x14ac:dyDescent="0.4">
      <c r="A17" s="32"/>
      <c r="B17" s="35"/>
      <c r="C17" s="36"/>
      <c r="D17" s="4" t="s">
        <v>27</v>
      </c>
      <c r="E17" s="8">
        <f>E16-E15</f>
        <v>0</v>
      </c>
      <c r="F17" s="8">
        <f t="shared" ref="F17:G17" si="12">F16-F15</f>
        <v>0</v>
      </c>
      <c r="G17" s="8">
        <f t="shared" si="12"/>
        <v>0</v>
      </c>
      <c r="H17" s="8">
        <f>H16-H15</f>
        <v>0</v>
      </c>
      <c r="I17" s="8">
        <f t="shared" ref="I17:P17" si="13">I16-I15</f>
        <v>0</v>
      </c>
      <c r="J17" s="8">
        <f t="shared" si="13"/>
        <v>-94000</v>
      </c>
      <c r="K17" s="8">
        <f t="shared" si="13"/>
        <v>0</v>
      </c>
      <c r="L17" s="8">
        <f t="shared" si="13"/>
        <v>0</v>
      </c>
      <c r="M17" s="8">
        <f t="shared" si="13"/>
        <v>0</v>
      </c>
      <c r="N17" s="8">
        <f t="shared" si="13"/>
        <v>0</v>
      </c>
      <c r="O17" s="8">
        <f t="shared" si="13"/>
        <v>0</v>
      </c>
      <c r="P17" s="10">
        <f t="shared" si="13"/>
        <v>0</v>
      </c>
      <c r="Q17" s="7">
        <f t="shared" si="5"/>
        <v>-94000</v>
      </c>
      <c r="R17" s="8"/>
      <c r="S17" s="8"/>
      <c r="T17" s="34"/>
    </row>
    <row r="18" spans="1:20" s="13" customFormat="1" x14ac:dyDescent="0.4">
      <c r="A18" s="32" t="s">
        <v>32</v>
      </c>
      <c r="B18" s="35" t="s">
        <v>35</v>
      </c>
      <c r="C18" s="65" t="s">
        <v>38</v>
      </c>
      <c r="D18" s="4" t="s">
        <v>24</v>
      </c>
      <c r="E18" s="8">
        <v>0</v>
      </c>
      <c r="F18" s="5">
        <f>17000</f>
        <v>17000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11">
        <f>17000</f>
        <v>17000</v>
      </c>
      <c r="M18" s="8">
        <v>0</v>
      </c>
      <c r="N18" s="8">
        <v>0</v>
      </c>
      <c r="O18" s="8">
        <v>0</v>
      </c>
      <c r="P18" s="10">
        <v>0</v>
      </c>
      <c r="Q18" s="7">
        <f t="shared" si="5"/>
        <v>34000</v>
      </c>
      <c r="R18" s="8">
        <v>34000</v>
      </c>
      <c r="S18" s="8">
        <f t="shared" si="6"/>
        <v>0</v>
      </c>
      <c r="T18" s="62" t="s">
        <v>39</v>
      </c>
    </row>
    <row r="19" spans="1:20" s="13" customFormat="1" x14ac:dyDescent="0.4">
      <c r="A19" s="32"/>
      <c r="B19" s="35"/>
      <c r="C19" s="65"/>
      <c r="D19" s="4" t="s">
        <v>26</v>
      </c>
      <c r="E19" s="8">
        <v>0</v>
      </c>
      <c r="F19" s="11">
        <f>12600</f>
        <v>12600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11">
        <f>12600</f>
        <v>12600</v>
      </c>
      <c r="M19" s="8">
        <v>0</v>
      </c>
      <c r="N19" s="8">
        <v>0</v>
      </c>
      <c r="O19" s="8">
        <v>0</v>
      </c>
      <c r="P19" s="10">
        <v>0</v>
      </c>
      <c r="Q19" s="7">
        <f t="shared" si="5"/>
        <v>25200</v>
      </c>
      <c r="R19" s="8">
        <v>25200</v>
      </c>
      <c r="S19" s="8">
        <f t="shared" si="6"/>
        <v>0</v>
      </c>
      <c r="T19" s="63"/>
    </row>
    <row r="20" spans="1:20" s="13" customFormat="1" x14ac:dyDescent="0.4">
      <c r="A20" s="32"/>
      <c r="B20" s="35"/>
      <c r="C20" s="65"/>
      <c r="D20" s="4" t="s">
        <v>27</v>
      </c>
      <c r="E20" s="8">
        <f>E19-E18</f>
        <v>0</v>
      </c>
      <c r="F20" s="8">
        <f t="shared" ref="F20:P20" si="14">F19-F18</f>
        <v>-4400</v>
      </c>
      <c r="G20" s="8">
        <f t="shared" si="14"/>
        <v>0</v>
      </c>
      <c r="H20" s="8">
        <f t="shared" si="14"/>
        <v>0</v>
      </c>
      <c r="I20" s="8">
        <f t="shared" si="14"/>
        <v>0</v>
      </c>
      <c r="J20" s="8">
        <f t="shared" si="14"/>
        <v>0</v>
      </c>
      <c r="K20" s="8">
        <f t="shared" si="14"/>
        <v>0</v>
      </c>
      <c r="L20" s="8">
        <f t="shared" si="14"/>
        <v>-4400</v>
      </c>
      <c r="M20" s="8">
        <f t="shared" si="14"/>
        <v>0</v>
      </c>
      <c r="N20" s="8">
        <f t="shared" si="14"/>
        <v>0</v>
      </c>
      <c r="O20" s="8">
        <f t="shared" si="14"/>
        <v>0</v>
      </c>
      <c r="P20" s="10">
        <f t="shared" si="14"/>
        <v>0</v>
      </c>
      <c r="Q20" s="7">
        <f t="shared" si="5"/>
        <v>-8800</v>
      </c>
      <c r="R20" s="8"/>
      <c r="S20" s="8"/>
      <c r="T20" s="64"/>
    </row>
    <row r="21" spans="1:20" s="13" customFormat="1" x14ac:dyDescent="0.4">
      <c r="A21" s="44" t="s">
        <v>32</v>
      </c>
      <c r="B21" s="46" t="s">
        <v>40</v>
      </c>
      <c r="C21" s="55" t="s">
        <v>41</v>
      </c>
      <c r="D21" s="4" t="s">
        <v>24</v>
      </c>
      <c r="E21" s="8">
        <v>0</v>
      </c>
      <c r="F21" s="5">
        <f>(39000+5000+25000)</f>
        <v>69000</v>
      </c>
      <c r="G21" s="8">
        <v>0</v>
      </c>
      <c r="H21" s="5">
        <f>(39000+5000+25000)</f>
        <v>69000</v>
      </c>
      <c r="I21" s="8">
        <v>0</v>
      </c>
      <c r="J21" s="5">
        <f>(39000+5000+25000)</f>
        <v>69000</v>
      </c>
      <c r="K21" s="8">
        <v>0</v>
      </c>
      <c r="L21" s="5">
        <f>(39000+5000+25000)</f>
        <v>69000</v>
      </c>
      <c r="M21" s="8">
        <v>0</v>
      </c>
      <c r="N21" s="5">
        <f>(39000+5000+25000)</f>
        <v>69000</v>
      </c>
      <c r="O21" s="8">
        <v>0</v>
      </c>
      <c r="P21" s="6">
        <f>(39000+5000+25000)</f>
        <v>69000</v>
      </c>
      <c r="Q21" s="7">
        <f t="shared" si="5"/>
        <v>414000</v>
      </c>
      <c r="R21" s="8">
        <v>409800</v>
      </c>
      <c r="S21" s="8">
        <f t="shared" si="6"/>
        <v>4200</v>
      </c>
      <c r="T21" s="58" t="s">
        <v>42</v>
      </c>
    </row>
    <row r="22" spans="1:20" s="13" customFormat="1" x14ac:dyDescent="0.4">
      <c r="A22" s="45"/>
      <c r="B22" s="47"/>
      <c r="C22" s="56"/>
      <c r="D22" s="4" t="s">
        <v>26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0">
        <v>0</v>
      </c>
      <c r="Q22" s="7">
        <f t="shared" si="5"/>
        <v>0</v>
      </c>
      <c r="R22" s="8">
        <v>0</v>
      </c>
      <c r="S22" s="8">
        <f t="shared" si="6"/>
        <v>0</v>
      </c>
      <c r="T22" s="33"/>
    </row>
    <row r="23" spans="1:20" s="13" customFormat="1" x14ac:dyDescent="0.4">
      <c r="A23" s="31"/>
      <c r="B23" s="48"/>
      <c r="C23" s="57"/>
      <c r="D23" s="4" t="s">
        <v>27</v>
      </c>
      <c r="E23" s="8">
        <f>E22-E21</f>
        <v>0</v>
      </c>
      <c r="F23" s="8">
        <f t="shared" ref="F23:P23" si="15">F22-F21</f>
        <v>-69000</v>
      </c>
      <c r="G23" s="8">
        <f t="shared" si="15"/>
        <v>0</v>
      </c>
      <c r="H23" s="8">
        <f t="shared" si="15"/>
        <v>-69000</v>
      </c>
      <c r="I23" s="8">
        <f t="shared" si="15"/>
        <v>0</v>
      </c>
      <c r="J23" s="8">
        <f t="shared" si="15"/>
        <v>-69000</v>
      </c>
      <c r="K23" s="8">
        <f t="shared" si="15"/>
        <v>0</v>
      </c>
      <c r="L23" s="8">
        <f t="shared" si="15"/>
        <v>-69000</v>
      </c>
      <c r="M23" s="8">
        <f t="shared" si="15"/>
        <v>0</v>
      </c>
      <c r="N23" s="8">
        <f t="shared" si="15"/>
        <v>-69000</v>
      </c>
      <c r="O23" s="8">
        <f t="shared" si="15"/>
        <v>0</v>
      </c>
      <c r="P23" s="10">
        <f t="shared" si="15"/>
        <v>-69000</v>
      </c>
      <c r="Q23" s="7">
        <f t="shared" si="5"/>
        <v>-414000</v>
      </c>
      <c r="R23" s="8"/>
      <c r="S23" s="8"/>
      <c r="T23" s="34"/>
    </row>
    <row r="24" spans="1:20" x14ac:dyDescent="0.4">
      <c r="A24" s="44" t="s">
        <v>43</v>
      </c>
      <c r="B24" s="46" t="s">
        <v>22</v>
      </c>
      <c r="C24" s="49" t="s">
        <v>84</v>
      </c>
      <c r="D24" s="4" t="s">
        <v>24</v>
      </c>
      <c r="E24" s="5">
        <f>45000+57000*3</f>
        <v>216000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0">
        <v>0</v>
      </c>
      <c r="Q24" s="7">
        <f t="shared" si="5"/>
        <v>216000</v>
      </c>
      <c r="R24" s="8">
        <v>216000</v>
      </c>
      <c r="S24" s="8">
        <f t="shared" si="6"/>
        <v>0</v>
      </c>
      <c r="T24" s="58" t="s">
        <v>44</v>
      </c>
    </row>
    <row r="25" spans="1:20" x14ac:dyDescent="0.4">
      <c r="A25" s="45"/>
      <c r="B25" s="47"/>
      <c r="C25" s="50"/>
      <c r="D25" s="4" t="s">
        <v>26</v>
      </c>
      <c r="E25" s="5">
        <f>18000+19000*3</f>
        <v>75000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0">
        <v>0</v>
      </c>
      <c r="Q25" s="7">
        <f t="shared" si="5"/>
        <v>75000</v>
      </c>
      <c r="R25" s="8">
        <v>75000</v>
      </c>
      <c r="S25" s="8">
        <f t="shared" si="6"/>
        <v>0</v>
      </c>
      <c r="T25" s="33"/>
    </row>
    <row r="26" spans="1:20" x14ac:dyDescent="0.4">
      <c r="A26" s="31"/>
      <c r="B26" s="48"/>
      <c r="C26" s="51"/>
      <c r="D26" s="4" t="s">
        <v>27</v>
      </c>
      <c r="E26" s="8">
        <f>E25-E24</f>
        <v>-141000</v>
      </c>
      <c r="F26" s="8">
        <f t="shared" ref="F26:P26" si="16">F25-F24</f>
        <v>0</v>
      </c>
      <c r="G26" s="8">
        <f t="shared" si="16"/>
        <v>0</v>
      </c>
      <c r="H26" s="8">
        <f t="shared" si="16"/>
        <v>0</v>
      </c>
      <c r="I26" s="8">
        <f t="shared" si="16"/>
        <v>0</v>
      </c>
      <c r="J26" s="8">
        <f t="shared" si="16"/>
        <v>0</v>
      </c>
      <c r="K26" s="8">
        <f t="shared" si="16"/>
        <v>0</v>
      </c>
      <c r="L26" s="8">
        <f t="shared" si="16"/>
        <v>0</v>
      </c>
      <c r="M26" s="8">
        <f t="shared" si="16"/>
        <v>0</v>
      </c>
      <c r="N26" s="8">
        <f t="shared" si="16"/>
        <v>0</v>
      </c>
      <c r="O26" s="8">
        <f t="shared" si="16"/>
        <v>0</v>
      </c>
      <c r="P26" s="10">
        <f t="shared" si="16"/>
        <v>0</v>
      </c>
      <c r="Q26" s="7">
        <f t="shared" si="5"/>
        <v>-141000</v>
      </c>
      <c r="R26" s="8"/>
      <c r="S26" s="8"/>
      <c r="T26" s="34"/>
    </row>
    <row r="27" spans="1:20" x14ac:dyDescent="0.4">
      <c r="A27" s="44" t="s">
        <v>43</v>
      </c>
      <c r="B27" s="46" t="s">
        <v>22</v>
      </c>
      <c r="C27" s="49" t="s">
        <v>45</v>
      </c>
      <c r="D27" s="4" t="s">
        <v>24</v>
      </c>
      <c r="E27" s="8">
        <v>0</v>
      </c>
      <c r="F27" s="5">
        <f>170*(7*6+43*2)/4</f>
        <v>5440</v>
      </c>
      <c r="G27" s="8">
        <v>0</v>
      </c>
      <c r="H27" s="8">
        <v>0</v>
      </c>
      <c r="I27" s="5">
        <f>170*(7*6+43*2)/4</f>
        <v>5440</v>
      </c>
      <c r="J27" s="8">
        <v>0</v>
      </c>
      <c r="K27" s="8">
        <v>0</v>
      </c>
      <c r="L27" s="5">
        <f>170*(7*6+43*2)/4</f>
        <v>5440</v>
      </c>
      <c r="M27" s="8">
        <v>0</v>
      </c>
      <c r="N27" s="8">
        <v>0</v>
      </c>
      <c r="O27" s="5">
        <f>170*(7*6+43*2)/4</f>
        <v>5440</v>
      </c>
      <c r="P27" s="10">
        <v>0</v>
      </c>
      <c r="Q27" s="7">
        <f t="shared" si="5"/>
        <v>21760</v>
      </c>
      <c r="R27" s="8">
        <v>21760</v>
      </c>
      <c r="S27" s="8">
        <f t="shared" si="6"/>
        <v>0</v>
      </c>
      <c r="T27" s="42" t="s">
        <v>46</v>
      </c>
    </row>
    <row r="28" spans="1:20" x14ac:dyDescent="0.4">
      <c r="A28" s="45"/>
      <c r="B28" s="47"/>
      <c r="C28" s="50"/>
      <c r="D28" s="4" t="s">
        <v>26</v>
      </c>
      <c r="E28" s="8">
        <v>0</v>
      </c>
      <c r="F28" s="5">
        <f>80*(7*6+43*2)/4</f>
        <v>2560</v>
      </c>
      <c r="G28" s="8">
        <v>0</v>
      </c>
      <c r="H28" s="8">
        <v>0</v>
      </c>
      <c r="I28" s="5">
        <f>80*(7*6+43*2)/4</f>
        <v>2560</v>
      </c>
      <c r="J28" s="8">
        <v>0</v>
      </c>
      <c r="K28" s="8">
        <v>0</v>
      </c>
      <c r="L28" s="5">
        <f>80*(7*6+43*2)/4</f>
        <v>2560</v>
      </c>
      <c r="M28" s="8">
        <v>0</v>
      </c>
      <c r="N28" s="8">
        <v>0</v>
      </c>
      <c r="O28" s="5">
        <f>80*(7*6+43*2)/4</f>
        <v>2560</v>
      </c>
      <c r="P28" s="10">
        <v>0</v>
      </c>
      <c r="Q28" s="7">
        <f t="shared" si="5"/>
        <v>10240</v>
      </c>
      <c r="R28" s="8">
        <v>10240</v>
      </c>
      <c r="S28" s="8">
        <f t="shared" si="6"/>
        <v>0</v>
      </c>
      <c r="T28" s="33"/>
    </row>
    <row r="29" spans="1:20" x14ac:dyDescent="0.4">
      <c r="A29" s="31"/>
      <c r="B29" s="48"/>
      <c r="C29" s="51"/>
      <c r="D29" s="4" t="s">
        <v>27</v>
      </c>
      <c r="E29" s="8">
        <f>E28-E27</f>
        <v>0</v>
      </c>
      <c r="F29" s="8">
        <f t="shared" ref="F29:P29" si="17">F28-F27</f>
        <v>-2880</v>
      </c>
      <c r="G29" s="8">
        <f t="shared" si="17"/>
        <v>0</v>
      </c>
      <c r="H29" s="8">
        <f t="shared" si="17"/>
        <v>0</v>
      </c>
      <c r="I29" s="8">
        <f t="shared" si="17"/>
        <v>-2880</v>
      </c>
      <c r="J29" s="8">
        <f t="shared" si="17"/>
        <v>0</v>
      </c>
      <c r="K29" s="8">
        <f t="shared" si="17"/>
        <v>0</v>
      </c>
      <c r="L29" s="8">
        <f t="shared" si="17"/>
        <v>-2880</v>
      </c>
      <c r="M29" s="8">
        <f t="shared" si="17"/>
        <v>0</v>
      </c>
      <c r="N29" s="8">
        <f t="shared" si="17"/>
        <v>0</v>
      </c>
      <c r="O29" s="8">
        <f t="shared" si="17"/>
        <v>-2880</v>
      </c>
      <c r="P29" s="10">
        <f t="shared" si="17"/>
        <v>0</v>
      </c>
      <c r="Q29" s="7">
        <f t="shared" si="5"/>
        <v>-11520</v>
      </c>
      <c r="R29" s="8"/>
      <c r="S29" s="8"/>
      <c r="T29" s="34"/>
    </row>
    <row r="30" spans="1:20" s="13" customFormat="1" x14ac:dyDescent="0.4">
      <c r="A30" s="44" t="s">
        <v>47</v>
      </c>
      <c r="B30" s="46" t="s">
        <v>22</v>
      </c>
      <c r="C30" s="55" t="s">
        <v>48</v>
      </c>
      <c r="D30" s="4" t="s">
        <v>24</v>
      </c>
      <c r="E30" s="8">
        <v>0</v>
      </c>
      <c r="F30" s="8">
        <v>0</v>
      </c>
      <c r="G30" s="5">
        <f>30*16*20</f>
        <v>9600</v>
      </c>
      <c r="H30" s="5">
        <f t="shared" ref="H30:J30" si="18">30*16*20</f>
        <v>9600</v>
      </c>
      <c r="I30" s="5">
        <f t="shared" si="18"/>
        <v>9600</v>
      </c>
      <c r="J30" s="5">
        <f t="shared" si="18"/>
        <v>9600</v>
      </c>
      <c r="K30" s="5">
        <v>0</v>
      </c>
      <c r="L30" s="5">
        <f>30*16*20</f>
        <v>9600</v>
      </c>
      <c r="M30" s="5">
        <f t="shared" ref="M30:N30" si="19">30*16*20</f>
        <v>9600</v>
      </c>
      <c r="N30" s="5">
        <f t="shared" si="19"/>
        <v>9600</v>
      </c>
      <c r="O30" s="5">
        <f>30*16*20</f>
        <v>9600</v>
      </c>
      <c r="P30" s="6">
        <f>30*16*20</f>
        <v>9600</v>
      </c>
      <c r="Q30" s="7">
        <f>SUM(E30:P30)</f>
        <v>86400</v>
      </c>
      <c r="R30" s="8">
        <v>86400</v>
      </c>
      <c r="S30" s="8">
        <f>Q30-R30</f>
        <v>0</v>
      </c>
      <c r="T30" s="62" t="s">
        <v>49</v>
      </c>
    </row>
    <row r="31" spans="1:20" s="13" customFormat="1" x14ac:dyDescent="0.4">
      <c r="A31" s="45"/>
      <c r="B31" s="47"/>
      <c r="C31" s="56"/>
      <c r="D31" s="4" t="s">
        <v>26</v>
      </c>
      <c r="E31" s="8">
        <v>0</v>
      </c>
      <c r="F31" s="8">
        <v>0</v>
      </c>
      <c r="G31" s="5">
        <f>30*(100%-13%)*16*20</f>
        <v>8352</v>
      </c>
      <c r="H31" s="5">
        <f t="shared" ref="H31:J31" si="20">30*(100%-13%)*16*20</f>
        <v>8352</v>
      </c>
      <c r="I31" s="5">
        <f t="shared" si="20"/>
        <v>8352</v>
      </c>
      <c r="J31" s="5">
        <f t="shared" si="20"/>
        <v>8352</v>
      </c>
      <c r="K31" s="5">
        <v>0</v>
      </c>
      <c r="L31" s="5">
        <f>30*(100%-10%)*16*20</f>
        <v>8640</v>
      </c>
      <c r="M31" s="5">
        <f t="shared" ref="M31:P31" si="21">30*(100%-10%)*16*20</f>
        <v>8640</v>
      </c>
      <c r="N31" s="5">
        <f t="shared" si="21"/>
        <v>8640</v>
      </c>
      <c r="O31" s="5">
        <f t="shared" si="21"/>
        <v>8640</v>
      </c>
      <c r="P31" s="6">
        <f t="shared" si="21"/>
        <v>8640</v>
      </c>
      <c r="Q31" s="7">
        <f>SUM(E31:P31)</f>
        <v>76608</v>
      </c>
      <c r="R31" s="8">
        <v>76608</v>
      </c>
      <c r="S31" s="8">
        <f>Q31-R31</f>
        <v>0</v>
      </c>
      <c r="T31" s="63"/>
    </row>
    <row r="32" spans="1:20" s="13" customFormat="1" x14ac:dyDescent="0.4">
      <c r="A32" s="31"/>
      <c r="B32" s="48"/>
      <c r="C32" s="57"/>
      <c r="D32" s="4" t="s">
        <v>27</v>
      </c>
      <c r="E32" s="8">
        <f>E31-E30</f>
        <v>0</v>
      </c>
      <c r="F32" s="8">
        <f t="shared" ref="F32:P32" si="22">F31-F30</f>
        <v>0</v>
      </c>
      <c r="G32" s="8">
        <f t="shared" si="22"/>
        <v>-1248</v>
      </c>
      <c r="H32" s="8">
        <f t="shared" si="22"/>
        <v>-1248</v>
      </c>
      <c r="I32" s="8">
        <f t="shared" si="22"/>
        <v>-1248</v>
      </c>
      <c r="J32" s="8">
        <f t="shared" si="22"/>
        <v>-1248</v>
      </c>
      <c r="K32" s="8">
        <f t="shared" si="22"/>
        <v>0</v>
      </c>
      <c r="L32" s="8">
        <f t="shared" si="22"/>
        <v>-960</v>
      </c>
      <c r="M32" s="8">
        <f t="shared" si="22"/>
        <v>-960</v>
      </c>
      <c r="N32" s="8">
        <f t="shared" si="22"/>
        <v>-960</v>
      </c>
      <c r="O32" s="8">
        <f t="shared" si="22"/>
        <v>-960</v>
      </c>
      <c r="P32" s="10">
        <f t="shared" si="22"/>
        <v>-960</v>
      </c>
      <c r="Q32" s="7">
        <f>SUM(E32:P32)</f>
        <v>-9792</v>
      </c>
      <c r="R32" s="8"/>
      <c r="S32" s="8"/>
      <c r="T32" s="64"/>
    </row>
    <row r="33" spans="1:20" x14ac:dyDescent="0.4">
      <c r="A33" s="44" t="s">
        <v>47</v>
      </c>
      <c r="B33" s="46" t="s">
        <v>35</v>
      </c>
      <c r="C33" s="49" t="s">
        <v>50</v>
      </c>
      <c r="D33" s="4" t="s">
        <v>24</v>
      </c>
      <c r="E33" s="5">
        <f t="shared" ref="E33:G34" si="23">45000000/12</f>
        <v>3750000</v>
      </c>
      <c r="F33" s="5">
        <f t="shared" si="23"/>
        <v>3750000</v>
      </c>
      <c r="G33" s="5">
        <f t="shared" si="23"/>
        <v>3750000</v>
      </c>
      <c r="H33" s="5">
        <f>45000000/12</f>
        <v>3750000</v>
      </c>
      <c r="I33" s="5">
        <f t="shared" ref="I33:P33" si="24">45000000/12</f>
        <v>3750000</v>
      </c>
      <c r="J33" s="5">
        <f t="shared" si="24"/>
        <v>3750000</v>
      </c>
      <c r="K33" s="5">
        <f t="shared" si="24"/>
        <v>3750000</v>
      </c>
      <c r="L33" s="5">
        <f t="shared" si="24"/>
        <v>3750000</v>
      </c>
      <c r="M33" s="5">
        <f t="shared" si="24"/>
        <v>3750000</v>
      </c>
      <c r="N33" s="5">
        <f t="shared" si="24"/>
        <v>3750000</v>
      </c>
      <c r="O33" s="5">
        <f t="shared" si="24"/>
        <v>3750000</v>
      </c>
      <c r="P33" s="6">
        <f t="shared" si="24"/>
        <v>3750000</v>
      </c>
      <c r="Q33" s="7">
        <f t="shared" si="5"/>
        <v>45000000</v>
      </c>
      <c r="R33" s="8">
        <f>45000000/12*9</f>
        <v>33750000</v>
      </c>
      <c r="S33" s="8">
        <f t="shared" si="6"/>
        <v>11250000</v>
      </c>
      <c r="T33" s="58" t="s">
        <v>51</v>
      </c>
    </row>
    <row r="34" spans="1:20" x14ac:dyDescent="0.4">
      <c r="A34" s="45"/>
      <c r="B34" s="47"/>
      <c r="C34" s="50"/>
      <c r="D34" s="4" t="s">
        <v>26</v>
      </c>
      <c r="E34" s="5">
        <f t="shared" si="23"/>
        <v>3750000</v>
      </c>
      <c r="F34" s="5">
        <f t="shared" si="23"/>
        <v>3750000</v>
      </c>
      <c r="G34" s="5">
        <f t="shared" si="23"/>
        <v>3750000</v>
      </c>
      <c r="H34" s="5">
        <f>45000000*(100%-10%)/12</f>
        <v>3375000</v>
      </c>
      <c r="I34" s="5">
        <f t="shared" ref="I34:P34" si="25">45000000*(100%-10%)/12</f>
        <v>3375000</v>
      </c>
      <c r="J34" s="5">
        <f t="shared" si="25"/>
        <v>3375000</v>
      </c>
      <c r="K34" s="5">
        <f t="shared" si="25"/>
        <v>3375000</v>
      </c>
      <c r="L34" s="5">
        <f t="shared" si="25"/>
        <v>3375000</v>
      </c>
      <c r="M34" s="5">
        <f t="shared" si="25"/>
        <v>3375000</v>
      </c>
      <c r="N34" s="5">
        <f t="shared" si="25"/>
        <v>3375000</v>
      </c>
      <c r="O34" s="5">
        <f t="shared" si="25"/>
        <v>3375000</v>
      </c>
      <c r="P34" s="6">
        <f t="shared" si="25"/>
        <v>3375000</v>
      </c>
      <c r="Q34" s="7">
        <f t="shared" si="5"/>
        <v>41625000</v>
      </c>
      <c r="R34" s="8">
        <f>40500000/12*9</f>
        <v>30375000</v>
      </c>
      <c r="S34" s="8">
        <f t="shared" si="6"/>
        <v>11250000</v>
      </c>
      <c r="T34" s="33"/>
    </row>
    <row r="35" spans="1:20" x14ac:dyDescent="0.4">
      <c r="A35" s="31"/>
      <c r="B35" s="48"/>
      <c r="C35" s="51"/>
      <c r="D35" s="4" t="s">
        <v>27</v>
      </c>
      <c r="E35" s="8">
        <f>E34-E33</f>
        <v>0</v>
      </c>
      <c r="F35" s="8">
        <f t="shared" ref="F35:P35" si="26">F34-F33</f>
        <v>0</v>
      </c>
      <c r="G35" s="8">
        <f t="shared" si="26"/>
        <v>0</v>
      </c>
      <c r="H35" s="8">
        <f t="shared" si="26"/>
        <v>-375000</v>
      </c>
      <c r="I35" s="8">
        <f t="shared" si="26"/>
        <v>-375000</v>
      </c>
      <c r="J35" s="8">
        <f t="shared" si="26"/>
        <v>-375000</v>
      </c>
      <c r="K35" s="8">
        <f t="shared" si="26"/>
        <v>-375000</v>
      </c>
      <c r="L35" s="8">
        <f t="shared" si="26"/>
        <v>-375000</v>
      </c>
      <c r="M35" s="8">
        <f t="shared" si="26"/>
        <v>-375000</v>
      </c>
      <c r="N35" s="8">
        <f t="shared" si="26"/>
        <v>-375000</v>
      </c>
      <c r="O35" s="8">
        <f t="shared" si="26"/>
        <v>-375000</v>
      </c>
      <c r="P35" s="10">
        <f t="shared" si="26"/>
        <v>-375000</v>
      </c>
      <c r="Q35" s="7">
        <f t="shared" si="5"/>
        <v>-3375000</v>
      </c>
      <c r="R35" s="8"/>
      <c r="S35" s="8"/>
      <c r="T35" s="34"/>
    </row>
    <row r="36" spans="1:20" x14ac:dyDescent="0.4">
      <c r="A36" s="44" t="s">
        <v>47</v>
      </c>
      <c r="B36" s="46" t="s">
        <v>35</v>
      </c>
      <c r="C36" s="49" t="s">
        <v>52</v>
      </c>
      <c r="D36" s="4" t="s">
        <v>24</v>
      </c>
      <c r="E36" s="8">
        <v>0</v>
      </c>
      <c r="F36" s="14">
        <f>7426860/6</f>
        <v>1237810</v>
      </c>
      <c r="G36" s="11">
        <v>0</v>
      </c>
      <c r="H36" s="14">
        <f>7426860/6</f>
        <v>1237810</v>
      </c>
      <c r="I36" s="8">
        <v>0</v>
      </c>
      <c r="J36" s="14">
        <f>7426860/6</f>
        <v>1237810</v>
      </c>
      <c r="K36" s="8">
        <v>0</v>
      </c>
      <c r="L36" s="14">
        <f>7426860/6</f>
        <v>1237810</v>
      </c>
      <c r="M36" s="8">
        <v>0</v>
      </c>
      <c r="N36" s="14">
        <f>7426860/6</f>
        <v>1237810</v>
      </c>
      <c r="O36" s="8">
        <v>0</v>
      </c>
      <c r="P36" s="14">
        <f>7426860/6</f>
        <v>1237810</v>
      </c>
      <c r="Q36" s="7">
        <f t="shared" si="5"/>
        <v>7426860</v>
      </c>
      <c r="R36" s="16">
        <f>5396640/12*11</f>
        <v>4946920</v>
      </c>
      <c r="S36" s="8">
        <f t="shared" si="6"/>
        <v>2479940</v>
      </c>
      <c r="T36" s="58" t="s">
        <v>53</v>
      </c>
    </row>
    <row r="37" spans="1:20" x14ac:dyDescent="0.4">
      <c r="A37" s="45"/>
      <c r="B37" s="47"/>
      <c r="C37" s="50"/>
      <c r="D37" s="4" t="s">
        <v>26</v>
      </c>
      <c r="E37" s="8">
        <v>0</v>
      </c>
      <c r="F37" s="14">
        <f>(7426860/12)+(7417092/12)</f>
        <v>1236996</v>
      </c>
      <c r="G37" s="8">
        <v>0</v>
      </c>
      <c r="H37" s="14">
        <f>7417092/6</f>
        <v>1236182</v>
      </c>
      <c r="I37" s="8">
        <v>0</v>
      </c>
      <c r="J37" s="14">
        <f>7417092/6</f>
        <v>1236182</v>
      </c>
      <c r="K37" s="8">
        <v>0</v>
      </c>
      <c r="L37" s="14">
        <f>7417092/6</f>
        <v>1236182</v>
      </c>
      <c r="M37" s="8">
        <v>0</v>
      </c>
      <c r="N37" s="14">
        <f>7417092/6</f>
        <v>1236182</v>
      </c>
      <c r="O37" s="8">
        <v>0</v>
      </c>
      <c r="P37" s="14">
        <f>7417092/6</f>
        <v>1236182</v>
      </c>
      <c r="Q37" s="7">
        <f t="shared" si="5"/>
        <v>7417906</v>
      </c>
      <c r="R37" s="16">
        <f>5386740/12*11</f>
        <v>4937845</v>
      </c>
      <c r="S37" s="8">
        <f t="shared" si="6"/>
        <v>2480061</v>
      </c>
      <c r="T37" s="33"/>
    </row>
    <row r="38" spans="1:20" x14ac:dyDescent="0.4">
      <c r="A38" s="31"/>
      <c r="B38" s="48"/>
      <c r="C38" s="51"/>
      <c r="D38" s="4" t="s">
        <v>27</v>
      </c>
      <c r="E38" s="8">
        <f>E37-E36</f>
        <v>0</v>
      </c>
      <c r="F38" s="8">
        <f t="shared" ref="F38:P38" si="27">F37-F36</f>
        <v>-814</v>
      </c>
      <c r="G38" s="8">
        <f t="shared" si="27"/>
        <v>0</v>
      </c>
      <c r="H38" s="8">
        <f t="shared" si="27"/>
        <v>-1628</v>
      </c>
      <c r="I38" s="8">
        <f t="shared" si="27"/>
        <v>0</v>
      </c>
      <c r="J38" s="8">
        <f t="shared" si="27"/>
        <v>-1628</v>
      </c>
      <c r="K38" s="8">
        <f t="shared" si="27"/>
        <v>0</v>
      </c>
      <c r="L38" s="8">
        <f t="shared" si="27"/>
        <v>-1628</v>
      </c>
      <c r="M38" s="8">
        <f t="shared" si="27"/>
        <v>0</v>
      </c>
      <c r="N38" s="8">
        <f t="shared" si="27"/>
        <v>-1628</v>
      </c>
      <c r="O38" s="8">
        <f t="shared" si="27"/>
        <v>0</v>
      </c>
      <c r="P38" s="10">
        <f t="shared" si="27"/>
        <v>-1628</v>
      </c>
      <c r="Q38" s="7">
        <f t="shared" si="5"/>
        <v>-8954</v>
      </c>
      <c r="R38" s="16"/>
      <c r="S38" s="8"/>
      <c r="T38" s="34"/>
    </row>
    <row r="39" spans="1:20" ht="16.5" customHeight="1" x14ac:dyDescent="0.4">
      <c r="A39" s="59" t="s">
        <v>54</v>
      </c>
      <c r="B39" s="46" t="s">
        <v>35</v>
      </c>
      <c r="C39" s="49" t="s">
        <v>55</v>
      </c>
      <c r="D39" s="4" t="s">
        <v>24</v>
      </c>
      <c r="E39" s="5">
        <f t="shared" ref="E39:F40" si="28">(2000+2000+500)*5</f>
        <v>22500</v>
      </c>
      <c r="F39" s="5">
        <f t="shared" si="28"/>
        <v>22500</v>
      </c>
      <c r="G39" s="5">
        <f>(2000+2000+500)*5</f>
        <v>22500</v>
      </c>
      <c r="H39" s="5">
        <f t="shared" ref="H39:P39" si="29">(2000+2000+500)*5</f>
        <v>22500</v>
      </c>
      <c r="I39" s="5">
        <f t="shared" si="29"/>
        <v>22500</v>
      </c>
      <c r="J39" s="5">
        <f t="shared" si="29"/>
        <v>22500</v>
      </c>
      <c r="K39" s="5">
        <f t="shared" si="29"/>
        <v>22500</v>
      </c>
      <c r="L39" s="5">
        <f t="shared" si="29"/>
        <v>22500</v>
      </c>
      <c r="M39" s="5">
        <f t="shared" si="29"/>
        <v>22500</v>
      </c>
      <c r="N39" s="5">
        <f t="shared" si="29"/>
        <v>22500</v>
      </c>
      <c r="O39" s="5">
        <f t="shared" si="29"/>
        <v>22500</v>
      </c>
      <c r="P39" s="6">
        <f t="shared" si="29"/>
        <v>22500</v>
      </c>
      <c r="Q39" s="7">
        <f>SUM(E39:P39)</f>
        <v>270000</v>
      </c>
      <c r="R39" s="8">
        <f>270000/12*10</f>
        <v>225000</v>
      </c>
      <c r="S39" s="8">
        <f>Q39-R39</f>
        <v>45000</v>
      </c>
      <c r="T39" s="42" t="s">
        <v>85</v>
      </c>
    </row>
    <row r="40" spans="1:20" x14ac:dyDescent="0.4">
      <c r="A40" s="60"/>
      <c r="B40" s="47"/>
      <c r="C40" s="50"/>
      <c r="D40" s="4" t="s">
        <v>26</v>
      </c>
      <c r="E40" s="5">
        <f t="shared" si="28"/>
        <v>22500</v>
      </c>
      <c r="F40" s="5">
        <f>(2000+500)*5</f>
        <v>12500</v>
      </c>
      <c r="G40" s="5">
        <f>(2000+500)*3+900*2</f>
        <v>9300</v>
      </c>
      <c r="H40" s="5">
        <f>(2000+500)*3+900*2</f>
        <v>9300</v>
      </c>
      <c r="I40" s="5">
        <f t="shared" ref="I40:P40" si="30">900*5</f>
        <v>4500</v>
      </c>
      <c r="J40" s="5">
        <f t="shared" si="30"/>
        <v>4500</v>
      </c>
      <c r="K40" s="5">
        <f t="shared" si="30"/>
        <v>4500</v>
      </c>
      <c r="L40" s="5">
        <f t="shared" si="30"/>
        <v>4500</v>
      </c>
      <c r="M40" s="5">
        <f t="shared" si="30"/>
        <v>4500</v>
      </c>
      <c r="N40" s="5">
        <f t="shared" si="30"/>
        <v>4500</v>
      </c>
      <c r="O40" s="5">
        <f t="shared" si="30"/>
        <v>4500</v>
      </c>
      <c r="P40" s="6">
        <f t="shared" si="30"/>
        <v>4500</v>
      </c>
      <c r="Q40" s="7">
        <f>SUM(E40:P40)</f>
        <v>89600</v>
      </c>
      <c r="R40" s="8">
        <f>156000/12*10</f>
        <v>130000</v>
      </c>
      <c r="S40" s="8">
        <f>Q40-R40</f>
        <v>-40400</v>
      </c>
      <c r="T40" s="33"/>
    </row>
    <row r="41" spans="1:20" x14ac:dyDescent="0.4">
      <c r="A41" s="61"/>
      <c r="B41" s="48"/>
      <c r="C41" s="51"/>
      <c r="D41" s="4" t="s">
        <v>27</v>
      </c>
      <c r="E41" s="8">
        <f>E40-E39</f>
        <v>0</v>
      </c>
      <c r="F41" s="8">
        <f t="shared" ref="F41" si="31">F40-F39</f>
        <v>-10000</v>
      </c>
      <c r="G41" s="8">
        <f>G40-G39</f>
        <v>-13200</v>
      </c>
      <c r="H41" s="8">
        <f t="shared" ref="H41:P41" si="32">H40-H39</f>
        <v>-13200</v>
      </c>
      <c r="I41" s="8">
        <f t="shared" si="32"/>
        <v>-18000</v>
      </c>
      <c r="J41" s="8">
        <f t="shared" si="32"/>
        <v>-18000</v>
      </c>
      <c r="K41" s="8">
        <f t="shared" si="32"/>
        <v>-18000</v>
      </c>
      <c r="L41" s="8">
        <f t="shared" si="32"/>
        <v>-18000</v>
      </c>
      <c r="M41" s="8">
        <f t="shared" si="32"/>
        <v>-18000</v>
      </c>
      <c r="N41" s="8">
        <f t="shared" si="32"/>
        <v>-18000</v>
      </c>
      <c r="O41" s="8">
        <f t="shared" si="32"/>
        <v>-18000</v>
      </c>
      <c r="P41" s="10">
        <f t="shared" si="32"/>
        <v>-18000</v>
      </c>
      <c r="Q41" s="7">
        <f>SUM(E41:P41)</f>
        <v>-180400</v>
      </c>
      <c r="R41" s="8"/>
      <c r="S41" s="8"/>
      <c r="T41" s="34"/>
    </row>
    <row r="42" spans="1:20" ht="16.5" customHeight="1" x14ac:dyDescent="0.4">
      <c r="A42" s="59" t="s">
        <v>54</v>
      </c>
      <c r="B42" s="46" t="s">
        <v>35</v>
      </c>
      <c r="C42" s="49" t="s">
        <v>56</v>
      </c>
      <c r="D42" s="4" t="s">
        <v>24</v>
      </c>
      <c r="E42" s="5">
        <f>17000</f>
        <v>17000</v>
      </c>
      <c r="F42" s="5">
        <f>17000</f>
        <v>17000</v>
      </c>
      <c r="G42" s="5">
        <f>17000</f>
        <v>17000</v>
      </c>
      <c r="H42" s="5">
        <f>17000</f>
        <v>17000</v>
      </c>
      <c r="I42" s="5">
        <f>17000</f>
        <v>17000</v>
      </c>
      <c r="J42" s="5">
        <f>17000</f>
        <v>17000</v>
      </c>
      <c r="K42" s="5">
        <f>17000</f>
        <v>17000</v>
      </c>
      <c r="L42" s="5">
        <f>17000</f>
        <v>17000</v>
      </c>
      <c r="M42" s="5">
        <f>17000</f>
        <v>17000</v>
      </c>
      <c r="N42" s="5">
        <f>17000</f>
        <v>17000</v>
      </c>
      <c r="O42" s="5">
        <f>17000</f>
        <v>17000</v>
      </c>
      <c r="P42" s="6">
        <f>17000</f>
        <v>17000</v>
      </c>
      <c r="Q42" s="7">
        <f t="shared" si="5"/>
        <v>204000</v>
      </c>
      <c r="R42" s="8">
        <f>204000/12*10</f>
        <v>170000</v>
      </c>
      <c r="S42" s="8">
        <f t="shared" si="6"/>
        <v>34000</v>
      </c>
      <c r="T42" s="42" t="s">
        <v>57</v>
      </c>
    </row>
    <row r="43" spans="1:20" x14ac:dyDescent="0.4">
      <c r="A43" s="60"/>
      <c r="B43" s="47"/>
      <c r="C43" s="50"/>
      <c r="D43" s="4" t="s">
        <v>26</v>
      </c>
      <c r="E43" s="5">
        <f>17000</f>
        <v>17000</v>
      </c>
      <c r="F43" s="5">
        <f>17000</f>
        <v>17000</v>
      </c>
      <c r="G43" s="5">
        <f>10000</f>
        <v>10000</v>
      </c>
      <c r="H43" s="5">
        <f>10000</f>
        <v>10000</v>
      </c>
      <c r="I43" s="5">
        <f>10000</f>
        <v>10000</v>
      </c>
      <c r="J43" s="5">
        <f>10000</f>
        <v>10000</v>
      </c>
      <c r="K43" s="5">
        <f t="shared" ref="K43:P43" si="33">10000/2</f>
        <v>5000</v>
      </c>
      <c r="L43" s="5">
        <f t="shared" si="33"/>
        <v>5000</v>
      </c>
      <c r="M43" s="5">
        <f t="shared" si="33"/>
        <v>5000</v>
      </c>
      <c r="N43" s="5">
        <f t="shared" si="33"/>
        <v>5000</v>
      </c>
      <c r="O43" s="5">
        <f t="shared" si="33"/>
        <v>5000</v>
      </c>
      <c r="P43" s="6">
        <f t="shared" si="33"/>
        <v>5000</v>
      </c>
      <c r="Q43" s="7">
        <f t="shared" si="5"/>
        <v>104000</v>
      </c>
      <c r="R43" s="8">
        <f>120000/12*10</f>
        <v>100000</v>
      </c>
      <c r="S43" s="8">
        <f t="shared" si="6"/>
        <v>4000</v>
      </c>
      <c r="T43" s="33"/>
    </row>
    <row r="44" spans="1:20" x14ac:dyDescent="0.4">
      <c r="A44" s="61"/>
      <c r="B44" s="48"/>
      <c r="C44" s="51"/>
      <c r="D44" s="4" t="s">
        <v>27</v>
      </c>
      <c r="E44" s="8">
        <f>E43-E42</f>
        <v>0</v>
      </c>
      <c r="F44" s="8">
        <f t="shared" ref="F44:P44" si="34">F43-F42</f>
        <v>0</v>
      </c>
      <c r="G44" s="8">
        <f t="shared" si="34"/>
        <v>-7000</v>
      </c>
      <c r="H44" s="8">
        <f t="shared" si="34"/>
        <v>-7000</v>
      </c>
      <c r="I44" s="8">
        <f t="shared" si="34"/>
        <v>-7000</v>
      </c>
      <c r="J44" s="8">
        <f t="shared" si="34"/>
        <v>-7000</v>
      </c>
      <c r="K44" s="8">
        <f t="shared" si="34"/>
        <v>-12000</v>
      </c>
      <c r="L44" s="8">
        <f t="shared" si="34"/>
        <v>-12000</v>
      </c>
      <c r="M44" s="8">
        <f t="shared" si="34"/>
        <v>-12000</v>
      </c>
      <c r="N44" s="8">
        <f t="shared" si="34"/>
        <v>-12000</v>
      </c>
      <c r="O44" s="8">
        <f t="shared" si="34"/>
        <v>-12000</v>
      </c>
      <c r="P44" s="10">
        <f t="shared" si="34"/>
        <v>-12000</v>
      </c>
      <c r="Q44" s="7">
        <f t="shared" si="5"/>
        <v>-100000</v>
      </c>
      <c r="R44" s="8"/>
      <c r="S44" s="8"/>
      <c r="T44" s="34"/>
    </row>
    <row r="45" spans="1:20" ht="16.5" customHeight="1" x14ac:dyDescent="0.4">
      <c r="A45" s="59" t="s">
        <v>54</v>
      </c>
      <c r="B45" s="46" t="s">
        <v>35</v>
      </c>
      <c r="C45" s="49" t="s">
        <v>58</v>
      </c>
      <c r="D45" s="4" t="s">
        <v>24</v>
      </c>
      <c r="E45" s="5">
        <f t="shared" ref="E45:F46" si="35">(5400+100+900+400)</f>
        <v>6800</v>
      </c>
      <c r="F45" s="5">
        <f t="shared" si="35"/>
        <v>6800</v>
      </c>
      <c r="G45" s="5">
        <f>(5400+100+900+400)</f>
        <v>6800</v>
      </c>
      <c r="H45" s="5">
        <f t="shared" ref="H45:P45" si="36">(5400+100+900+400)</f>
        <v>6800</v>
      </c>
      <c r="I45" s="5">
        <f t="shared" si="36"/>
        <v>6800</v>
      </c>
      <c r="J45" s="5">
        <f t="shared" si="36"/>
        <v>6800</v>
      </c>
      <c r="K45" s="5">
        <f t="shared" si="36"/>
        <v>6800</v>
      </c>
      <c r="L45" s="5">
        <f t="shared" si="36"/>
        <v>6800</v>
      </c>
      <c r="M45" s="5">
        <f t="shared" si="36"/>
        <v>6800</v>
      </c>
      <c r="N45" s="5">
        <f t="shared" si="36"/>
        <v>6800</v>
      </c>
      <c r="O45" s="5">
        <f t="shared" si="36"/>
        <v>6800</v>
      </c>
      <c r="P45" s="6">
        <f t="shared" si="36"/>
        <v>6800</v>
      </c>
      <c r="Q45" s="7">
        <f t="shared" si="5"/>
        <v>81600</v>
      </c>
      <c r="R45" s="8">
        <f>82020/12*10</f>
        <v>68350</v>
      </c>
      <c r="S45" s="8">
        <f t="shared" si="6"/>
        <v>13250</v>
      </c>
      <c r="T45" s="42" t="s">
        <v>86</v>
      </c>
    </row>
    <row r="46" spans="1:20" x14ac:dyDescent="0.4">
      <c r="A46" s="60"/>
      <c r="B46" s="47"/>
      <c r="C46" s="50"/>
      <c r="D46" s="4" t="s">
        <v>26</v>
      </c>
      <c r="E46" s="5">
        <f t="shared" si="35"/>
        <v>6800</v>
      </c>
      <c r="F46" s="5">
        <f t="shared" si="35"/>
        <v>6800</v>
      </c>
      <c r="G46" s="5">
        <f>(2300*2)+24000</f>
        <v>28600</v>
      </c>
      <c r="H46" s="5">
        <f>(2300*2)</f>
        <v>4600</v>
      </c>
      <c r="I46" s="5">
        <f t="shared" ref="I46:P46" si="37">(2300*2)</f>
        <v>4600</v>
      </c>
      <c r="J46" s="5">
        <f t="shared" si="37"/>
        <v>4600</v>
      </c>
      <c r="K46" s="5">
        <f t="shared" si="37"/>
        <v>4600</v>
      </c>
      <c r="L46" s="5">
        <f t="shared" si="37"/>
        <v>4600</v>
      </c>
      <c r="M46" s="5">
        <f t="shared" si="37"/>
        <v>4600</v>
      </c>
      <c r="N46" s="5">
        <f t="shared" si="37"/>
        <v>4600</v>
      </c>
      <c r="O46" s="5">
        <f t="shared" si="37"/>
        <v>4600</v>
      </c>
      <c r="P46" s="5">
        <f t="shared" si="37"/>
        <v>4600</v>
      </c>
      <c r="Q46" s="7">
        <f t="shared" si="5"/>
        <v>83600</v>
      </c>
      <c r="R46" s="8">
        <f>54000/12*10+24000</f>
        <v>69000</v>
      </c>
      <c r="S46" s="8">
        <f t="shared" si="6"/>
        <v>14600</v>
      </c>
      <c r="T46" s="33"/>
    </row>
    <row r="47" spans="1:20" x14ac:dyDescent="0.4">
      <c r="A47" s="61"/>
      <c r="B47" s="48"/>
      <c r="C47" s="51"/>
      <c r="D47" s="4" t="s">
        <v>27</v>
      </c>
      <c r="E47" s="8">
        <f>E46-E45</f>
        <v>0</v>
      </c>
      <c r="F47" s="8">
        <f t="shared" ref="F47:P47" si="38">F46-F45</f>
        <v>0</v>
      </c>
      <c r="G47" s="8">
        <f t="shared" si="38"/>
        <v>21800</v>
      </c>
      <c r="H47" s="8">
        <f t="shared" si="38"/>
        <v>-2200</v>
      </c>
      <c r="I47" s="8">
        <f t="shared" si="38"/>
        <v>-2200</v>
      </c>
      <c r="J47" s="8">
        <f t="shared" si="38"/>
        <v>-2200</v>
      </c>
      <c r="K47" s="8">
        <f t="shared" si="38"/>
        <v>-2200</v>
      </c>
      <c r="L47" s="8">
        <f t="shared" si="38"/>
        <v>-2200</v>
      </c>
      <c r="M47" s="8">
        <f t="shared" si="38"/>
        <v>-2200</v>
      </c>
      <c r="N47" s="8">
        <f t="shared" si="38"/>
        <v>-2200</v>
      </c>
      <c r="O47" s="8">
        <f t="shared" si="38"/>
        <v>-2200</v>
      </c>
      <c r="P47" s="10">
        <f t="shared" si="38"/>
        <v>-2200</v>
      </c>
      <c r="Q47" s="7">
        <f t="shared" si="5"/>
        <v>2000</v>
      </c>
      <c r="R47" s="8"/>
      <c r="S47" s="8"/>
      <c r="T47" s="34"/>
    </row>
    <row r="48" spans="1:20" ht="16.5" customHeight="1" x14ac:dyDescent="0.4">
      <c r="A48" s="59" t="s">
        <v>59</v>
      </c>
      <c r="B48" s="46" t="s">
        <v>22</v>
      </c>
      <c r="C48" s="49" t="s">
        <v>60</v>
      </c>
      <c r="D48" s="4" t="s">
        <v>24</v>
      </c>
      <c r="E48" s="5">
        <f>(85*3400)</f>
        <v>289000</v>
      </c>
      <c r="F48" s="5">
        <f>(85*3400)-F51</f>
        <v>288150</v>
      </c>
      <c r="G48" s="5">
        <f t="shared" ref="G48:P48" si="39">(85*3400)-G51</f>
        <v>286450</v>
      </c>
      <c r="H48" s="5">
        <f t="shared" si="39"/>
        <v>282200</v>
      </c>
      <c r="I48" s="5">
        <f t="shared" si="39"/>
        <v>277950</v>
      </c>
      <c r="J48" s="5">
        <f t="shared" si="39"/>
        <v>276250</v>
      </c>
      <c r="K48" s="5">
        <f t="shared" si="39"/>
        <v>274550</v>
      </c>
      <c r="L48" s="5">
        <f t="shared" si="39"/>
        <v>270300</v>
      </c>
      <c r="M48" s="5">
        <f t="shared" si="39"/>
        <v>266050</v>
      </c>
      <c r="N48" s="5">
        <f t="shared" si="39"/>
        <v>263500</v>
      </c>
      <c r="O48" s="5">
        <f t="shared" si="39"/>
        <v>259250</v>
      </c>
      <c r="P48" s="6">
        <f t="shared" si="39"/>
        <v>255000</v>
      </c>
      <c r="Q48" s="7">
        <f t="shared" si="5"/>
        <v>3288650</v>
      </c>
      <c r="R48" s="8">
        <v>3468000</v>
      </c>
      <c r="S48" s="8">
        <f t="shared" si="6"/>
        <v>-179350</v>
      </c>
      <c r="T48" s="42" t="s">
        <v>61</v>
      </c>
    </row>
    <row r="49" spans="1:20" x14ac:dyDescent="0.4">
      <c r="A49" s="60"/>
      <c r="B49" s="47"/>
      <c r="C49" s="50"/>
      <c r="D49" s="4" t="s">
        <v>26</v>
      </c>
      <c r="E49" s="5">
        <f>(85*3400*(100%-14%))</f>
        <v>248540</v>
      </c>
      <c r="F49" s="5">
        <f>(85*(3400-10)*(100%-14%))</f>
        <v>247809</v>
      </c>
      <c r="G49" s="5">
        <f>(85*(3400-30)*(100%-14%))</f>
        <v>246347</v>
      </c>
      <c r="H49" s="5">
        <f>(85*(3400-80)*(100%-14%))</f>
        <v>242692</v>
      </c>
      <c r="I49" s="5">
        <f>(85*(3400-130)*(100%-14%))</f>
        <v>239037</v>
      </c>
      <c r="J49" s="5">
        <f>(85*(3400-150)*(100%-14%))</f>
        <v>237575</v>
      </c>
      <c r="K49" s="5">
        <f>(85*(3400-170)*(100%-14%))</f>
        <v>236113</v>
      </c>
      <c r="L49" s="5">
        <f>(85*(3400-220)*(100%-14%))</f>
        <v>232458</v>
      </c>
      <c r="M49" s="5">
        <f>(85*(3400-270)*(100%-14%))</f>
        <v>228803</v>
      </c>
      <c r="N49" s="5">
        <f>(85*(3400-300)*(100%-14%))</f>
        <v>226610</v>
      </c>
      <c r="O49" s="5">
        <f>(85*(3400-350)*(100%-14%))</f>
        <v>222955</v>
      </c>
      <c r="P49" s="6">
        <f>(85*(3400-400)*(100%-14%))</f>
        <v>219300</v>
      </c>
      <c r="Q49" s="7">
        <f t="shared" si="5"/>
        <v>2828239</v>
      </c>
      <c r="R49" s="8">
        <v>3086520</v>
      </c>
      <c r="S49" s="8">
        <f t="shared" si="6"/>
        <v>-258281</v>
      </c>
      <c r="T49" s="33"/>
    </row>
    <row r="50" spans="1:20" x14ac:dyDescent="0.4">
      <c r="A50" s="61"/>
      <c r="B50" s="48"/>
      <c r="C50" s="51"/>
      <c r="D50" s="4" t="s">
        <v>27</v>
      </c>
      <c r="E50" s="8">
        <f>E49-E48</f>
        <v>-40460</v>
      </c>
      <c r="F50" s="8">
        <f t="shared" ref="F50:P50" si="40">F49-F48</f>
        <v>-40341</v>
      </c>
      <c r="G50" s="8">
        <f t="shared" si="40"/>
        <v>-40103</v>
      </c>
      <c r="H50" s="8">
        <f t="shared" si="40"/>
        <v>-39508</v>
      </c>
      <c r="I50" s="8">
        <f t="shared" si="40"/>
        <v>-38913</v>
      </c>
      <c r="J50" s="8">
        <f t="shared" si="40"/>
        <v>-38675</v>
      </c>
      <c r="K50" s="8">
        <f t="shared" si="40"/>
        <v>-38437</v>
      </c>
      <c r="L50" s="8">
        <f t="shared" si="40"/>
        <v>-37842</v>
      </c>
      <c r="M50" s="8">
        <f t="shared" si="40"/>
        <v>-37247</v>
      </c>
      <c r="N50" s="8">
        <f t="shared" si="40"/>
        <v>-36890</v>
      </c>
      <c r="O50" s="8">
        <f t="shared" si="40"/>
        <v>-36295</v>
      </c>
      <c r="P50" s="10">
        <f t="shared" si="40"/>
        <v>-35700</v>
      </c>
      <c r="Q50" s="7">
        <f t="shared" si="5"/>
        <v>-460411</v>
      </c>
      <c r="R50" s="8"/>
      <c r="S50" s="8"/>
      <c r="T50" s="34"/>
    </row>
    <row r="51" spans="1:20" ht="16.5" customHeight="1" x14ac:dyDescent="0.4">
      <c r="A51" s="59" t="s">
        <v>59</v>
      </c>
      <c r="B51" s="46" t="s">
        <v>40</v>
      </c>
      <c r="C51" s="49" t="s">
        <v>62</v>
      </c>
      <c r="D51" s="4" t="s">
        <v>24</v>
      </c>
      <c r="E51" s="5">
        <v>0</v>
      </c>
      <c r="F51" s="5">
        <f>85*10</f>
        <v>850</v>
      </c>
      <c r="G51" s="5">
        <f>85*30</f>
        <v>2550</v>
      </c>
      <c r="H51" s="5">
        <f>85*80</f>
        <v>6800</v>
      </c>
      <c r="I51" s="5">
        <f>85*130</f>
        <v>11050</v>
      </c>
      <c r="J51" s="5">
        <f>85*150</f>
        <v>12750</v>
      </c>
      <c r="K51" s="5">
        <f>85*170</f>
        <v>14450</v>
      </c>
      <c r="L51" s="5">
        <f>85*220</f>
        <v>18700</v>
      </c>
      <c r="M51" s="5">
        <f>85*270</f>
        <v>22950</v>
      </c>
      <c r="N51" s="5">
        <f>85*300</f>
        <v>25500</v>
      </c>
      <c r="O51" s="5">
        <f>85*350</f>
        <v>29750</v>
      </c>
      <c r="P51" s="6">
        <f>85*400</f>
        <v>34000</v>
      </c>
      <c r="Q51" s="7">
        <f t="shared" ref="Q51:Q67" si="41">SUM(E51:P51)</f>
        <v>179350</v>
      </c>
      <c r="R51" s="8">
        <f>3468000/12*11</f>
        <v>3179000</v>
      </c>
      <c r="S51" s="8">
        <f t="shared" si="6"/>
        <v>-2999650</v>
      </c>
      <c r="T51" s="42" t="s">
        <v>63</v>
      </c>
    </row>
    <row r="52" spans="1:20" x14ac:dyDescent="0.4">
      <c r="A52" s="60"/>
      <c r="B52" s="47"/>
      <c r="C52" s="50"/>
      <c r="D52" s="4" t="s">
        <v>26</v>
      </c>
      <c r="E52" s="5">
        <v>0</v>
      </c>
      <c r="F52" s="8">
        <f>5000</f>
        <v>5000</v>
      </c>
      <c r="G52" s="8">
        <f>5000</f>
        <v>5000</v>
      </c>
      <c r="H52" s="8">
        <f>5000</f>
        <v>5000</v>
      </c>
      <c r="I52" s="8">
        <f>5000</f>
        <v>5000</v>
      </c>
      <c r="J52" s="8">
        <f>5000</f>
        <v>5000</v>
      </c>
      <c r="K52" s="8">
        <f>5000</f>
        <v>5000</v>
      </c>
      <c r="L52" s="8">
        <f>5000</f>
        <v>5000</v>
      </c>
      <c r="M52" s="8">
        <f>5000</f>
        <v>5000</v>
      </c>
      <c r="N52" s="8">
        <f>5000</f>
        <v>5000</v>
      </c>
      <c r="O52" s="8">
        <f>5000</f>
        <v>5000</v>
      </c>
      <c r="P52" s="10">
        <f>5000</f>
        <v>5000</v>
      </c>
      <c r="Q52" s="7">
        <f t="shared" si="41"/>
        <v>55000</v>
      </c>
      <c r="R52" s="8"/>
      <c r="S52" s="8"/>
      <c r="T52" s="33"/>
    </row>
    <row r="53" spans="1:20" x14ac:dyDescent="0.4">
      <c r="A53" s="61"/>
      <c r="B53" s="48"/>
      <c r="C53" s="51"/>
      <c r="D53" s="4" t="s">
        <v>27</v>
      </c>
      <c r="E53" s="8">
        <f>E52-E51</f>
        <v>0</v>
      </c>
      <c r="F53" s="8">
        <f t="shared" ref="F53:P53" si="42">F52-F51</f>
        <v>4150</v>
      </c>
      <c r="G53" s="8">
        <f t="shared" si="42"/>
        <v>2450</v>
      </c>
      <c r="H53" s="8">
        <f t="shared" si="42"/>
        <v>-1800</v>
      </c>
      <c r="I53" s="8">
        <f t="shared" si="42"/>
        <v>-6050</v>
      </c>
      <c r="J53" s="8">
        <f t="shared" si="42"/>
        <v>-7750</v>
      </c>
      <c r="K53" s="8">
        <f t="shared" si="42"/>
        <v>-9450</v>
      </c>
      <c r="L53" s="8">
        <f t="shared" si="42"/>
        <v>-13700</v>
      </c>
      <c r="M53" s="8">
        <f t="shared" si="42"/>
        <v>-17950</v>
      </c>
      <c r="N53" s="8">
        <f t="shared" si="42"/>
        <v>-20500</v>
      </c>
      <c r="O53" s="8">
        <f t="shared" si="42"/>
        <v>-24750</v>
      </c>
      <c r="P53" s="10">
        <f t="shared" si="42"/>
        <v>-29000</v>
      </c>
      <c r="Q53" s="7">
        <f t="shared" si="41"/>
        <v>-124350</v>
      </c>
      <c r="R53" s="8"/>
      <c r="S53" s="8"/>
      <c r="T53" s="34"/>
    </row>
    <row r="54" spans="1:20" x14ac:dyDescent="0.4">
      <c r="A54" s="44" t="s">
        <v>64</v>
      </c>
      <c r="B54" s="46" t="s">
        <v>22</v>
      </c>
      <c r="C54" s="49" t="s">
        <v>65</v>
      </c>
      <c r="D54" s="4" t="s">
        <v>24</v>
      </c>
      <c r="E54" s="8">
        <v>0</v>
      </c>
      <c r="F54" s="8">
        <v>0</v>
      </c>
      <c r="G54" s="5">
        <f>5000*50</f>
        <v>250000</v>
      </c>
      <c r="H54" s="8">
        <v>0</v>
      </c>
      <c r="I54" s="8">
        <v>0</v>
      </c>
      <c r="J54" s="5">
        <f>5000*50</f>
        <v>250000</v>
      </c>
      <c r="K54" s="8">
        <v>0</v>
      </c>
      <c r="L54" s="8">
        <v>0</v>
      </c>
      <c r="M54" s="5">
        <f>5000*50</f>
        <v>250000</v>
      </c>
      <c r="N54" s="8">
        <v>0</v>
      </c>
      <c r="O54" s="8">
        <v>0</v>
      </c>
      <c r="P54" s="6">
        <f>5000*50</f>
        <v>250000</v>
      </c>
      <c r="Q54" s="7">
        <f t="shared" si="41"/>
        <v>1000000</v>
      </c>
      <c r="R54" s="8">
        <v>1000000</v>
      </c>
      <c r="S54" s="8">
        <f t="shared" si="6"/>
        <v>0</v>
      </c>
      <c r="T54" s="42" t="s">
        <v>66</v>
      </c>
    </row>
    <row r="55" spans="1:20" x14ac:dyDescent="0.4">
      <c r="A55" s="45"/>
      <c r="B55" s="47"/>
      <c r="C55" s="50"/>
      <c r="D55" s="4" t="s">
        <v>26</v>
      </c>
      <c r="E55" s="8">
        <v>0</v>
      </c>
      <c r="F55" s="8">
        <v>0</v>
      </c>
      <c r="G55" s="5">
        <f>5000*50</f>
        <v>250000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5">
        <f>5000*50</f>
        <v>250000</v>
      </c>
      <c r="N55" s="8">
        <v>0</v>
      </c>
      <c r="O55" s="8">
        <v>0</v>
      </c>
      <c r="P55" s="10">
        <v>0</v>
      </c>
      <c r="Q55" s="7">
        <f t="shared" si="41"/>
        <v>500000</v>
      </c>
      <c r="R55" s="8">
        <v>500000</v>
      </c>
      <c r="S55" s="8">
        <f t="shared" si="6"/>
        <v>0</v>
      </c>
      <c r="T55" s="33"/>
    </row>
    <row r="56" spans="1:20" x14ac:dyDescent="0.4">
      <c r="A56" s="31"/>
      <c r="B56" s="48"/>
      <c r="C56" s="51"/>
      <c r="D56" s="4" t="s">
        <v>27</v>
      </c>
      <c r="E56" s="8">
        <f>E55-E54</f>
        <v>0</v>
      </c>
      <c r="F56" s="8">
        <f t="shared" ref="F56:P56" si="43">F55-F54</f>
        <v>0</v>
      </c>
      <c r="G56" s="8">
        <f t="shared" si="43"/>
        <v>0</v>
      </c>
      <c r="H56" s="8">
        <f t="shared" si="43"/>
        <v>0</v>
      </c>
      <c r="I56" s="8">
        <f t="shared" si="43"/>
        <v>0</v>
      </c>
      <c r="J56" s="8">
        <f t="shared" si="43"/>
        <v>-250000</v>
      </c>
      <c r="K56" s="8">
        <f t="shared" si="43"/>
        <v>0</v>
      </c>
      <c r="L56" s="8">
        <f t="shared" si="43"/>
        <v>0</v>
      </c>
      <c r="M56" s="8">
        <f t="shared" si="43"/>
        <v>0</v>
      </c>
      <c r="N56" s="8">
        <f t="shared" si="43"/>
        <v>0</v>
      </c>
      <c r="O56" s="8">
        <f t="shared" si="43"/>
        <v>0</v>
      </c>
      <c r="P56" s="10">
        <f t="shared" si="43"/>
        <v>-250000</v>
      </c>
      <c r="Q56" s="7">
        <f t="shared" si="41"/>
        <v>-500000</v>
      </c>
      <c r="R56" s="8"/>
      <c r="S56" s="8"/>
      <c r="T56" s="34"/>
    </row>
    <row r="57" spans="1:20" x14ac:dyDescent="0.4">
      <c r="A57" s="44" t="s">
        <v>64</v>
      </c>
      <c r="B57" s="46" t="s">
        <v>35</v>
      </c>
      <c r="C57" s="49" t="s">
        <v>69</v>
      </c>
      <c r="D57" s="4" t="s">
        <v>24</v>
      </c>
      <c r="E57" s="5">
        <f>11000*10</f>
        <v>110000</v>
      </c>
      <c r="F57" s="5">
        <f>11000*10</f>
        <v>110000</v>
      </c>
      <c r="G57" s="5">
        <f t="shared" ref="G57:P57" si="44">11000*10</f>
        <v>110000</v>
      </c>
      <c r="H57" s="5">
        <f t="shared" si="44"/>
        <v>110000</v>
      </c>
      <c r="I57" s="5">
        <f t="shared" si="44"/>
        <v>110000</v>
      </c>
      <c r="J57" s="5">
        <f t="shared" si="44"/>
        <v>110000</v>
      </c>
      <c r="K57" s="5">
        <f t="shared" si="44"/>
        <v>110000</v>
      </c>
      <c r="L57" s="5">
        <f t="shared" si="44"/>
        <v>110000</v>
      </c>
      <c r="M57" s="5">
        <f t="shared" si="44"/>
        <v>110000</v>
      </c>
      <c r="N57" s="5">
        <f t="shared" si="44"/>
        <v>110000</v>
      </c>
      <c r="O57" s="5">
        <f t="shared" si="44"/>
        <v>110000</v>
      </c>
      <c r="P57" s="6">
        <f t="shared" si="44"/>
        <v>110000</v>
      </c>
      <c r="Q57" s="7">
        <f>SUM(E57:P57)</f>
        <v>1320000</v>
      </c>
      <c r="R57" s="8">
        <f>1320000/12*11</f>
        <v>1210000</v>
      </c>
      <c r="S57" s="8">
        <f>Q57-R57</f>
        <v>110000</v>
      </c>
      <c r="T57" s="58" t="s">
        <v>70</v>
      </c>
    </row>
    <row r="58" spans="1:20" x14ac:dyDescent="0.4">
      <c r="A58" s="45"/>
      <c r="B58" s="47"/>
      <c r="C58" s="50"/>
      <c r="D58" s="4" t="s">
        <v>26</v>
      </c>
      <c r="E58" s="5">
        <f>11000*10</f>
        <v>110000</v>
      </c>
      <c r="F58" s="5">
        <f>3300*10</f>
        <v>33000</v>
      </c>
      <c r="G58" s="5">
        <f t="shared" ref="G58:P58" si="45">3300*10</f>
        <v>33000</v>
      </c>
      <c r="H58" s="5">
        <f t="shared" si="45"/>
        <v>33000</v>
      </c>
      <c r="I58" s="5">
        <f t="shared" si="45"/>
        <v>33000</v>
      </c>
      <c r="J58" s="5">
        <f t="shared" si="45"/>
        <v>33000</v>
      </c>
      <c r="K58" s="5">
        <f t="shared" si="45"/>
        <v>33000</v>
      </c>
      <c r="L58" s="5">
        <f t="shared" si="45"/>
        <v>33000</v>
      </c>
      <c r="M58" s="5">
        <f t="shared" si="45"/>
        <v>33000</v>
      </c>
      <c r="N58" s="5">
        <f t="shared" si="45"/>
        <v>33000</v>
      </c>
      <c r="O58" s="5">
        <f t="shared" si="45"/>
        <v>33000</v>
      </c>
      <c r="P58" s="6">
        <f t="shared" si="45"/>
        <v>33000</v>
      </c>
      <c r="Q58" s="7">
        <f>SUM(E58:P58)</f>
        <v>473000</v>
      </c>
      <c r="R58" s="8">
        <f>396000/12*11</f>
        <v>363000</v>
      </c>
      <c r="S58" s="8">
        <f>Q58-R58</f>
        <v>110000</v>
      </c>
      <c r="T58" s="33"/>
    </row>
    <row r="59" spans="1:20" x14ac:dyDescent="0.4">
      <c r="A59" s="31"/>
      <c r="B59" s="48"/>
      <c r="C59" s="51"/>
      <c r="D59" s="4" t="s">
        <v>27</v>
      </c>
      <c r="E59" s="8">
        <f>E58-E57</f>
        <v>0</v>
      </c>
      <c r="F59" s="8">
        <f t="shared" ref="F59:P59" si="46">F58-F57</f>
        <v>-77000</v>
      </c>
      <c r="G59" s="8">
        <f t="shared" si="46"/>
        <v>-77000</v>
      </c>
      <c r="H59" s="8">
        <f t="shared" si="46"/>
        <v>-77000</v>
      </c>
      <c r="I59" s="8">
        <f t="shared" si="46"/>
        <v>-77000</v>
      </c>
      <c r="J59" s="8">
        <f t="shared" si="46"/>
        <v>-77000</v>
      </c>
      <c r="K59" s="8">
        <f t="shared" si="46"/>
        <v>-77000</v>
      </c>
      <c r="L59" s="8">
        <f t="shared" si="46"/>
        <v>-77000</v>
      </c>
      <c r="M59" s="8">
        <f t="shared" si="46"/>
        <v>-77000</v>
      </c>
      <c r="N59" s="8">
        <f t="shared" si="46"/>
        <v>-77000</v>
      </c>
      <c r="O59" s="8">
        <f t="shared" si="46"/>
        <v>-77000</v>
      </c>
      <c r="P59" s="10">
        <f t="shared" si="46"/>
        <v>-77000</v>
      </c>
      <c r="Q59" s="7">
        <f>SUM(E59:P59)</f>
        <v>-847000</v>
      </c>
      <c r="R59" s="8"/>
      <c r="S59" s="8"/>
      <c r="T59" s="34"/>
    </row>
    <row r="60" spans="1:20" x14ac:dyDescent="0.4">
      <c r="A60" s="44" t="s">
        <v>64</v>
      </c>
      <c r="B60" s="46" t="s">
        <v>35</v>
      </c>
      <c r="C60" s="49" t="s">
        <v>67</v>
      </c>
      <c r="D60" s="4" t="s">
        <v>24</v>
      </c>
      <c r="E60" s="5">
        <f>(69800+5000-17000)*5</f>
        <v>289000</v>
      </c>
      <c r="F60" s="5">
        <f>(69800+5000-17000)*5</f>
        <v>289000</v>
      </c>
      <c r="G60" s="5">
        <f t="shared" ref="E60:G61" si="47">(69800+5000-17000)*5</f>
        <v>289000</v>
      </c>
      <c r="H60" s="5">
        <f>(69800+5000-17000)*5</f>
        <v>289000</v>
      </c>
      <c r="I60" s="5">
        <f t="shared" ref="I60:P60" si="48">(69800+5000-17000)*5</f>
        <v>289000</v>
      </c>
      <c r="J60" s="5">
        <f t="shared" si="48"/>
        <v>289000</v>
      </c>
      <c r="K60" s="5">
        <f t="shared" si="48"/>
        <v>289000</v>
      </c>
      <c r="L60" s="5">
        <f t="shared" si="48"/>
        <v>289000</v>
      </c>
      <c r="M60" s="5">
        <f t="shared" si="48"/>
        <v>289000</v>
      </c>
      <c r="N60" s="5">
        <f t="shared" si="48"/>
        <v>289000</v>
      </c>
      <c r="O60" s="5">
        <f t="shared" si="48"/>
        <v>289000</v>
      </c>
      <c r="P60" s="6">
        <f t="shared" si="48"/>
        <v>289000</v>
      </c>
      <c r="Q60" s="7">
        <f>SUM(E60:P60)</f>
        <v>3468000</v>
      </c>
      <c r="R60" s="8">
        <f>3468000/12*9</f>
        <v>2601000</v>
      </c>
      <c r="S60" s="8">
        <f t="shared" si="6"/>
        <v>867000</v>
      </c>
      <c r="T60" s="42" t="s">
        <v>68</v>
      </c>
    </row>
    <row r="61" spans="1:20" x14ac:dyDescent="0.4">
      <c r="A61" s="45"/>
      <c r="B61" s="47"/>
      <c r="C61" s="50"/>
      <c r="D61" s="4" t="s">
        <v>26</v>
      </c>
      <c r="E61" s="5">
        <f t="shared" si="47"/>
        <v>289000</v>
      </c>
      <c r="F61" s="5">
        <f>(69800+5000-17000)*5</f>
        <v>289000</v>
      </c>
      <c r="G61" s="5">
        <f>((69800+5000)*(100%-25%))*5</f>
        <v>280500</v>
      </c>
      <c r="H61" s="5">
        <f>((69800+5000)*(100%-25%))*5</f>
        <v>280500</v>
      </c>
      <c r="I61" s="5">
        <f t="shared" ref="I61:P61" si="49">((69800+5000)*(100%-25%))*5</f>
        <v>280500</v>
      </c>
      <c r="J61" s="5">
        <f t="shared" si="49"/>
        <v>280500</v>
      </c>
      <c r="K61" s="5">
        <f t="shared" si="49"/>
        <v>280500</v>
      </c>
      <c r="L61" s="5">
        <f t="shared" si="49"/>
        <v>280500</v>
      </c>
      <c r="M61" s="5">
        <f t="shared" si="49"/>
        <v>280500</v>
      </c>
      <c r="N61" s="5">
        <f t="shared" si="49"/>
        <v>280500</v>
      </c>
      <c r="O61" s="5">
        <f t="shared" si="49"/>
        <v>280500</v>
      </c>
      <c r="P61" s="6">
        <f t="shared" si="49"/>
        <v>280500</v>
      </c>
      <c r="Q61" s="7">
        <f>SUM(E61:P61)</f>
        <v>3383000</v>
      </c>
      <c r="R61" s="8">
        <f>3366000/12*9</f>
        <v>2524500</v>
      </c>
      <c r="S61" s="8">
        <f t="shared" si="6"/>
        <v>858500</v>
      </c>
      <c r="T61" s="33"/>
    </row>
    <row r="62" spans="1:20" x14ac:dyDescent="0.4">
      <c r="A62" s="31"/>
      <c r="B62" s="48"/>
      <c r="C62" s="51"/>
      <c r="D62" s="4" t="s">
        <v>27</v>
      </c>
      <c r="E62" s="8">
        <f>E61-E60</f>
        <v>0</v>
      </c>
      <c r="F62" s="8">
        <f t="shared" ref="F62:P62" si="50">F61-F60</f>
        <v>0</v>
      </c>
      <c r="G62" s="8">
        <f t="shared" si="50"/>
        <v>-8500</v>
      </c>
      <c r="H62" s="8">
        <f t="shared" si="50"/>
        <v>-8500</v>
      </c>
      <c r="I62" s="8">
        <f t="shared" si="50"/>
        <v>-8500</v>
      </c>
      <c r="J62" s="8">
        <f t="shared" si="50"/>
        <v>-8500</v>
      </c>
      <c r="K62" s="8">
        <f t="shared" si="50"/>
        <v>-8500</v>
      </c>
      <c r="L62" s="8">
        <f t="shared" si="50"/>
        <v>-8500</v>
      </c>
      <c r="M62" s="8">
        <f t="shared" si="50"/>
        <v>-8500</v>
      </c>
      <c r="N62" s="8">
        <f t="shared" si="50"/>
        <v>-8500</v>
      </c>
      <c r="O62" s="8">
        <f t="shared" si="50"/>
        <v>-8500</v>
      </c>
      <c r="P62" s="10">
        <f t="shared" si="50"/>
        <v>-8500</v>
      </c>
      <c r="Q62" s="7">
        <f t="shared" si="41"/>
        <v>-85000</v>
      </c>
      <c r="R62" s="8"/>
      <c r="S62" s="8"/>
      <c r="T62" s="34"/>
    </row>
    <row r="63" spans="1:20" s="13" customFormat="1" x14ac:dyDescent="0.4">
      <c r="A63" s="46" t="s">
        <v>71</v>
      </c>
      <c r="B63" s="46" t="s">
        <v>35</v>
      </c>
      <c r="C63" s="55" t="s">
        <v>72</v>
      </c>
      <c r="D63" s="4" t="s">
        <v>24</v>
      </c>
      <c r="E63" s="8">
        <v>0</v>
      </c>
      <c r="F63" s="8">
        <v>0</v>
      </c>
      <c r="G63" s="8">
        <v>0</v>
      </c>
      <c r="H63" s="8">
        <v>0</v>
      </c>
      <c r="I63" s="5">
        <f>(5000*100)</f>
        <v>500000</v>
      </c>
      <c r="J63" s="8">
        <v>0</v>
      </c>
      <c r="K63" s="8">
        <v>0</v>
      </c>
      <c r="L63" s="8">
        <v>0</v>
      </c>
      <c r="M63" s="5">
        <f>(5000*100)</f>
        <v>500000</v>
      </c>
      <c r="N63" s="8">
        <v>0</v>
      </c>
      <c r="O63" s="8">
        <v>0</v>
      </c>
      <c r="P63" s="10">
        <v>0</v>
      </c>
      <c r="Q63" s="7">
        <f>SUM(E63:P63)</f>
        <v>1000000</v>
      </c>
      <c r="R63" s="11">
        <v>1000000</v>
      </c>
      <c r="S63" s="8">
        <f>Q63-R63</f>
        <v>0</v>
      </c>
      <c r="T63" s="42" t="s">
        <v>73</v>
      </c>
    </row>
    <row r="64" spans="1:20" s="13" customFormat="1" x14ac:dyDescent="0.4">
      <c r="A64" s="47"/>
      <c r="B64" s="47"/>
      <c r="C64" s="56"/>
      <c r="D64" s="4" t="s">
        <v>26</v>
      </c>
      <c r="E64" s="8">
        <v>0</v>
      </c>
      <c r="F64" s="8">
        <v>0</v>
      </c>
      <c r="G64" s="8">
        <v>0</v>
      </c>
      <c r="H64" s="8">
        <v>0</v>
      </c>
      <c r="I64" s="5">
        <f>(5000*20+3000*60)</f>
        <v>280000</v>
      </c>
      <c r="J64" s="8">
        <v>0</v>
      </c>
      <c r="K64" s="8">
        <v>0</v>
      </c>
      <c r="L64" s="8">
        <v>0</v>
      </c>
      <c r="M64" s="5">
        <f>(5000*20+3000*60)</f>
        <v>280000</v>
      </c>
      <c r="N64" s="8">
        <v>0</v>
      </c>
      <c r="O64" s="8">
        <v>0</v>
      </c>
      <c r="P64" s="10">
        <v>0</v>
      </c>
      <c r="Q64" s="7">
        <f>SUM(E64:P64)</f>
        <v>560000</v>
      </c>
      <c r="R64" s="11">
        <v>560000</v>
      </c>
      <c r="S64" s="8">
        <f>Q64-R64</f>
        <v>0</v>
      </c>
      <c r="T64" s="33"/>
    </row>
    <row r="65" spans="1:20" s="13" customFormat="1" x14ac:dyDescent="0.4">
      <c r="A65" s="48"/>
      <c r="B65" s="48"/>
      <c r="C65" s="57"/>
      <c r="D65" s="4" t="s">
        <v>27</v>
      </c>
      <c r="E65" s="8">
        <f>E64-E63</f>
        <v>0</v>
      </c>
      <c r="F65" s="8">
        <f t="shared" ref="F65:P65" si="51">F64-F63</f>
        <v>0</v>
      </c>
      <c r="G65" s="8">
        <f t="shared" si="51"/>
        <v>0</v>
      </c>
      <c r="H65" s="8">
        <f t="shared" si="51"/>
        <v>0</v>
      </c>
      <c r="I65" s="8">
        <f t="shared" si="51"/>
        <v>-220000</v>
      </c>
      <c r="J65" s="8">
        <f t="shared" si="51"/>
        <v>0</v>
      </c>
      <c r="K65" s="8">
        <f t="shared" si="51"/>
        <v>0</v>
      </c>
      <c r="L65" s="8">
        <f t="shared" si="51"/>
        <v>0</v>
      </c>
      <c r="M65" s="8">
        <f t="shared" si="51"/>
        <v>-220000</v>
      </c>
      <c r="N65" s="8">
        <f t="shared" si="51"/>
        <v>0</v>
      </c>
      <c r="O65" s="8">
        <f t="shared" si="51"/>
        <v>0</v>
      </c>
      <c r="P65" s="10">
        <f t="shared" si="51"/>
        <v>0</v>
      </c>
      <c r="Q65" s="7">
        <f>SUM(E65:P65)</f>
        <v>-440000</v>
      </c>
      <c r="R65" s="11"/>
      <c r="S65" s="8"/>
      <c r="T65" s="34"/>
    </row>
    <row r="66" spans="1:20" x14ac:dyDescent="0.4">
      <c r="A66" s="44" t="s">
        <v>71</v>
      </c>
      <c r="B66" s="46" t="s">
        <v>35</v>
      </c>
      <c r="C66" s="49" t="s">
        <v>74</v>
      </c>
      <c r="D66" s="4" t="s">
        <v>24</v>
      </c>
      <c r="E66" s="8">
        <v>348000</v>
      </c>
      <c r="F66" s="8">
        <v>174000</v>
      </c>
      <c r="G66" s="8">
        <v>138000</v>
      </c>
      <c r="H66" s="8">
        <v>138000</v>
      </c>
      <c r="I66" s="8">
        <v>138000</v>
      </c>
      <c r="J66" s="8">
        <v>174000</v>
      </c>
      <c r="K66" s="8">
        <v>174000</v>
      </c>
      <c r="L66" s="8">
        <v>174000</v>
      </c>
      <c r="M66" s="8">
        <v>348000</v>
      </c>
      <c r="N66" s="8">
        <v>260000</v>
      </c>
      <c r="O66" s="8">
        <v>174000</v>
      </c>
      <c r="P66" s="10">
        <v>260000</v>
      </c>
      <c r="Q66" s="7">
        <f t="shared" si="41"/>
        <v>2500000</v>
      </c>
      <c r="R66" s="8">
        <v>2500000</v>
      </c>
      <c r="S66" s="8">
        <f t="shared" si="6"/>
        <v>0</v>
      </c>
      <c r="T66" s="42" t="s">
        <v>87</v>
      </c>
    </row>
    <row r="67" spans="1:20" x14ac:dyDescent="0.4">
      <c r="A67" s="45"/>
      <c r="B67" s="47"/>
      <c r="C67" s="50"/>
      <c r="D67" s="4" t="s">
        <v>26</v>
      </c>
      <c r="E67" s="8">
        <f>1440000*0.138888888888889</f>
        <v>200000.00000000017</v>
      </c>
      <c r="F67" s="8">
        <f>1440000*0.0694444444444444</f>
        <v>99999.999999999942</v>
      </c>
      <c r="G67" s="8">
        <f>1440000*0.0555555555555556</f>
        <v>80000.000000000073</v>
      </c>
      <c r="H67" s="8">
        <f>1440000*0.0555555555555556</f>
        <v>80000.000000000073</v>
      </c>
      <c r="I67" s="8">
        <f>1440000*0.0555555555555556</f>
        <v>80000.000000000073</v>
      </c>
      <c r="J67" s="8">
        <f>1440000*0.0694444444444444</f>
        <v>99999.999999999942</v>
      </c>
      <c r="K67" s="8">
        <f>1440000*0.0694444444444444</f>
        <v>99999.999999999942</v>
      </c>
      <c r="L67" s="8">
        <f>1440000*0.0694444444444444</f>
        <v>99999.999999999942</v>
      </c>
      <c r="M67" s="8">
        <f>1440000*0.138888888888889</f>
        <v>200000.00000000017</v>
      </c>
      <c r="N67" s="8">
        <f>1440000*0.104166666666667</f>
        <v>150000.00000000049</v>
      </c>
      <c r="O67" s="8">
        <f>1440000*0.0694444444444444</f>
        <v>99999.999999999942</v>
      </c>
      <c r="P67" s="10">
        <f>1440000*0.104166666666667</f>
        <v>150000.00000000049</v>
      </c>
      <c r="Q67" s="7">
        <f t="shared" si="41"/>
        <v>1440000.0000000014</v>
      </c>
      <c r="R67" s="8">
        <v>1440000</v>
      </c>
      <c r="S67" s="8">
        <f t="shared" si="6"/>
        <v>0</v>
      </c>
      <c r="T67" s="33"/>
    </row>
    <row r="68" spans="1:20" x14ac:dyDescent="0.4">
      <c r="A68" s="31"/>
      <c r="B68" s="48"/>
      <c r="C68" s="51"/>
      <c r="D68" s="4" t="s">
        <v>27</v>
      </c>
      <c r="E68" s="8">
        <f>E67-E66</f>
        <v>-147999.99999999983</v>
      </c>
      <c r="F68" s="8">
        <f t="shared" ref="F68:P68" si="52">F67-F66</f>
        <v>-74000.000000000058</v>
      </c>
      <c r="G68" s="8">
        <f t="shared" si="52"/>
        <v>-57999.999999999927</v>
      </c>
      <c r="H68" s="8">
        <f t="shared" si="52"/>
        <v>-57999.999999999927</v>
      </c>
      <c r="I68" s="8">
        <f t="shared" si="52"/>
        <v>-57999.999999999927</v>
      </c>
      <c r="J68" s="8">
        <f t="shared" si="52"/>
        <v>-74000.000000000058</v>
      </c>
      <c r="K68" s="8">
        <f t="shared" si="52"/>
        <v>-74000.000000000058</v>
      </c>
      <c r="L68" s="8">
        <f t="shared" si="52"/>
        <v>-74000.000000000058</v>
      </c>
      <c r="M68" s="8">
        <f t="shared" si="52"/>
        <v>-147999.99999999983</v>
      </c>
      <c r="N68" s="8">
        <f t="shared" si="52"/>
        <v>-109999.99999999951</v>
      </c>
      <c r="O68" s="8">
        <f t="shared" si="52"/>
        <v>-74000.000000000058</v>
      </c>
      <c r="P68" s="10">
        <f t="shared" si="52"/>
        <v>-109999.99999999951</v>
      </c>
      <c r="Q68" s="7">
        <f t="shared" ref="Q68:Q81" si="53">SUM(E68:P68)</f>
        <v>-1059999.9999999986</v>
      </c>
      <c r="R68" s="8"/>
      <c r="S68" s="8"/>
      <c r="T68" s="34"/>
    </row>
    <row r="69" spans="1:20" x14ac:dyDescent="0.4">
      <c r="A69" s="44" t="s">
        <v>75</v>
      </c>
      <c r="B69" s="46" t="s">
        <v>35</v>
      </c>
      <c r="C69" s="52" t="s">
        <v>92</v>
      </c>
      <c r="D69" s="4" t="s">
        <v>24</v>
      </c>
      <c r="E69" s="14">
        <v>0</v>
      </c>
      <c r="F69" s="11">
        <f t="shared" ref="F69:P69" si="54">(1000000+260000)/3/12</f>
        <v>35000</v>
      </c>
      <c r="G69" s="14">
        <f t="shared" si="54"/>
        <v>35000</v>
      </c>
      <c r="H69" s="14">
        <f t="shared" si="54"/>
        <v>35000</v>
      </c>
      <c r="I69" s="14">
        <f t="shared" si="54"/>
        <v>35000</v>
      </c>
      <c r="J69" s="14">
        <f t="shared" si="54"/>
        <v>35000</v>
      </c>
      <c r="K69" s="14">
        <f t="shared" si="54"/>
        <v>35000</v>
      </c>
      <c r="L69" s="14">
        <f t="shared" si="54"/>
        <v>35000</v>
      </c>
      <c r="M69" s="14">
        <f t="shared" si="54"/>
        <v>35000</v>
      </c>
      <c r="N69" s="14">
        <f t="shared" si="54"/>
        <v>35000</v>
      </c>
      <c r="O69" s="14">
        <f t="shared" si="54"/>
        <v>35000</v>
      </c>
      <c r="P69" s="15">
        <f t="shared" si="54"/>
        <v>35000</v>
      </c>
      <c r="Q69" s="7">
        <f t="shared" si="53"/>
        <v>385000</v>
      </c>
      <c r="R69" s="14">
        <f>204000/12*6+500000/12*6</f>
        <v>352000</v>
      </c>
      <c r="S69" s="8">
        <f>Q69-R69</f>
        <v>33000</v>
      </c>
      <c r="T69" s="42" t="s">
        <v>88</v>
      </c>
    </row>
    <row r="70" spans="1:20" x14ac:dyDescent="0.4">
      <c r="A70" s="45"/>
      <c r="B70" s="47"/>
      <c r="C70" s="53"/>
      <c r="D70" s="4" t="s">
        <v>26</v>
      </c>
      <c r="E70" s="14">
        <v>0</v>
      </c>
      <c r="F70" s="14">
        <f>(26000*12*3)/3/12</f>
        <v>26000</v>
      </c>
      <c r="G70" s="14">
        <f>26000</f>
        <v>26000</v>
      </c>
      <c r="H70" s="14">
        <f>26000</f>
        <v>26000</v>
      </c>
      <c r="I70" s="14">
        <f>26000</f>
        <v>26000</v>
      </c>
      <c r="J70" s="14">
        <f>26000</f>
        <v>26000</v>
      </c>
      <c r="K70" s="14">
        <f>26000</f>
        <v>26000</v>
      </c>
      <c r="L70" s="14">
        <f>26000</f>
        <v>26000</v>
      </c>
      <c r="M70" s="14">
        <f>26000</f>
        <v>26000</v>
      </c>
      <c r="N70" s="14">
        <f>26000</f>
        <v>26000</v>
      </c>
      <c r="O70" s="14">
        <f>26000</f>
        <v>26000</v>
      </c>
      <c r="P70" s="15">
        <f>26000</f>
        <v>26000</v>
      </c>
      <c r="Q70" s="7">
        <f t="shared" si="53"/>
        <v>286000</v>
      </c>
      <c r="R70" s="8">
        <f>133043.47826087/12*6+425000/12*6</f>
        <v>279021.73913043499</v>
      </c>
      <c r="S70" s="8">
        <f t="shared" si="6"/>
        <v>6978.2608695650124</v>
      </c>
      <c r="T70" s="33"/>
    </row>
    <row r="71" spans="1:20" x14ac:dyDescent="0.4">
      <c r="A71" s="31"/>
      <c r="B71" s="48"/>
      <c r="C71" s="54"/>
      <c r="D71" s="4" t="s">
        <v>27</v>
      </c>
      <c r="E71" s="8">
        <f>E70-E69</f>
        <v>0</v>
      </c>
      <c r="F71" s="8">
        <f t="shared" ref="F71:P71" si="55">F70-F69</f>
        <v>-9000</v>
      </c>
      <c r="G71" s="8">
        <f t="shared" si="55"/>
        <v>-9000</v>
      </c>
      <c r="H71" s="8">
        <f t="shared" si="55"/>
        <v>-9000</v>
      </c>
      <c r="I71" s="8">
        <f t="shared" si="55"/>
        <v>-9000</v>
      </c>
      <c r="J71" s="8">
        <f t="shared" si="55"/>
        <v>-9000</v>
      </c>
      <c r="K71" s="8">
        <f t="shared" si="55"/>
        <v>-9000</v>
      </c>
      <c r="L71" s="8">
        <f t="shared" si="55"/>
        <v>-9000</v>
      </c>
      <c r="M71" s="8">
        <f t="shared" si="55"/>
        <v>-9000</v>
      </c>
      <c r="N71" s="8">
        <f t="shared" si="55"/>
        <v>-9000</v>
      </c>
      <c r="O71" s="8">
        <f t="shared" si="55"/>
        <v>-9000</v>
      </c>
      <c r="P71" s="10">
        <f t="shared" si="55"/>
        <v>-9000</v>
      </c>
      <c r="Q71" s="7">
        <f t="shared" si="53"/>
        <v>-99000</v>
      </c>
      <c r="R71" s="8"/>
      <c r="S71" s="8"/>
      <c r="T71" s="34"/>
    </row>
    <row r="72" spans="1:20" x14ac:dyDescent="0.4">
      <c r="A72" s="44" t="s">
        <v>76</v>
      </c>
      <c r="B72" s="46" t="s">
        <v>35</v>
      </c>
      <c r="C72" s="49" t="s">
        <v>77</v>
      </c>
      <c r="D72" s="4" t="s">
        <v>24</v>
      </c>
      <c r="E72" s="5">
        <f t="shared" ref="E72:P73" si="56">700000</f>
        <v>700000</v>
      </c>
      <c r="F72" s="5">
        <f t="shared" si="56"/>
        <v>700000</v>
      </c>
      <c r="G72" s="5">
        <f t="shared" si="56"/>
        <v>700000</v>
      </c>
      <c r="H72" s="5">
        <f t="shared" si="56"/>
        <v>700000</v>
      </c>
      <c r="I72" s="5">
        <f t="shared" si="56"/>
        <v>700000</v>
      </c>
      <c r="J72" s="5">
        <f t="shared" si="56"/>
        <v>700000</v>
      </c>
      <c r="K72" s="5">
        <f t="shared" si="56"/>
        <v>700000</v>
      </c>
      <c r="L72" s="5">
        <f t="shared" si="56"/>
        <v>700000</v>
      </c>
      <c r="M72" s="5">
        <f t="shared" si="56"/>
        <v>700000</v>
      </c>
      <c r="N72" s="5">
        <f t="shared" si="56"/>
        <v>700000</v>
      </c>
      <c r="O72" s="5">
        <f t="shared" si="56"/>
        <v>700000</v>
      </c>
      <c r="P72" s="6">
        <f t="shared" si="56"/>
        <v>700000</v>
      </c>
      <c r="Q72" s="7">
        <f t="shared" si="53"/>
        <v>8400000</v>
      </c>
      <c r="R72" s="8">
        <f>8160000/12*8</f>
        <v>5440000</v>
      </c>
      <c r="S72" s="8">
        <f t="shared" si="6"/>
        <v>2960000</v>
      </c>
      <c r="T72" s="42" t="s">
        <v>89</v>
      </c>
    </row>
    <row r="73" spans="1:20" x14ac:dyDescent="0.4">
      <c r="A73" s="45"/>
      <c r="B73" s="47"/>
      <c r="C73" s="50"/>
      <c r="D73" s="4" t="s">
        <v>26</v>
      </c>
      <c r="E73" s="5">
        <f t="shared" si="56"/>
        <v>700000</v>
      </c>
      <c r="F73" s="5">
        <f t="shared" si="56"/>
        <v>700000</v>
      </c>
      <c r="G73" s="5">
        <f t="shared" si="56"/>
        <v>700000</v>
      </c>
      <c r="H73" s="5">
        <f t="shared" si="56"/>
        <v>700000</v>
      </c>
      <c r="I73" s="5">
        <f t="shared" si="56"/>
        <v>700000</v>
      </c>
      <c r="J73" s="5">
        <f t="shared" si="56"/>
        <v>700000</v>
      </c>
      <c r="K73" s="5">
        <f>180000+1200000+300000+700000+180000*2</f>
        <v>2740000</v>
      </c>
      <c r="L73" s="5">
        <f t="shared" ref="L73:P73" si="57">180000</f>
        <v>180000</v>
      </c>
      <c r="M73" s="5">
        <f t="shared" si="57"/>
        <v>180000</v>
      </c>
      <c r="N73" s="5">
        <f t="shared" si="57"/>
        <v>180000</v>
      </c>
      <c r="O73" s="5">
        <f t="shared" si="57"/>
        <v>180000</v>
      </c>
      <c r="P73" s="6">
        <f t="shared" si="57"/>
        <v>180000</v>
      </c>
      <c r="Q73" s="7">
        <f t="shared" si="53"/>
        <v>7840000</v>
      </c>
      <c r="R73" s="8">
        <f>2160000/12*8+2710000</f>
        <v>4150000</v>
      </c>
      <c r="S73" s="8">
        <f t="shared" si="6"/>
        <v>3690000</v>
      </c>
      <c r="T73" s="33"/>
    </row>
    <row r="74" spans="1:20" x14ac:dyDescent="0.4">
      <c r="A74" s="31"/>
      <c r="B74" s="48"/>
      <c r="C74" s="51"/>
      <c r="D74" s="4" t="s">
        <v>27</v>
      </c>
      <c r="E74" s="8">
        <f>E73-E72</f>
        <v>0</v>
      </c>
      <c r="F74" s="8">
        <f t="shared" ref="F74:P74" si="58">F73-F72</f>
        <v>0</v>
      </c>
      <c r="G74" s="8">
        <f t="shared" si="58"/>
        <v>0</v>
      </c>
      <c r="H74" s="8">
        <f t="shared" si="58"/>
        <v>0</v>
      </c>
      <c r="I74" s="8">
        <f t="shared" si="58"/>
        <v>0</v>
      </c>
      <c r="J74" s="8">
        <f t="shared" si="58"/>
        <v>0</v>
      </c>
      <c r="K74" s="8">
        <f t="shared" si="58"/>
        <v>2040000</v>
      </c>
      <c r="L74" s="8">
        <f t="shared" si="58"/>
        <v>-520000</v>
      </c>
      <c r="M74" s="8">
        <f t="shared" si="58"/>
        <v>-520000</v>
      </c>
      <c r="N74" s="8">
        <f t="shared" si="58"/>
        <v>-520000</v>
      </c>
      <c r="O74" s="8">
        <f t="shared" si="58"/>
        <v>-520000</v>
      </c>
      <c r="P74" s="10">
        <f t="shared" si="58"/>
        <v>-520000</v>
      </c>
      <c r="Q74" s="7">
        <f t="shared" si="53"/>
        <v>-560000</v>
      </c>
      <c r="R74" s="8"/>
      <c r="S74" s="8"/>
      <c r="T74" s="34"/>
    </row>
    <row r="75" spans="1:20" x14ac:dyDescent="0.4">
      <c r="A75" s="44" t="s">
        <v>78</v>
      </c>
      <c r="B75" s="46" t="s">
        <v>35</v>
      </c>
      <c r="C75" s="49" t="s">
        <v>79</v>
      </c>
      <c r="D75" s="4" t="s">
        <v>24</v>
      </c>
      <c r="E75" s="8">
        <f>(2.6*90*10%*50%*190000)*0.131578947368421</f>
        <v>292499.99999999988</v>
      </c>
      <c r="F75" s="8">
        <f>(2.6*90*10%*50%*190000)*0.105263157894737</f>
        <v>234000.00000000035</v>
      </c>
      <c r="G75" s="8">
        <f>(2.6*90*10%*50%*190000)*0.0789473684210526</f>
        <v>175499.99999999994</v>
      </c>
      <c r="H75" s="8">
        <f>(2.6*90*10%*50%*190000)*0.0526315789473684</f>
        <v>116999.99999999994</v>
      </c>
      <c r="I75" s="8">
        <f>(2.6*90*10%*50%*190000)*0.0526315789473684</f>
        <v>116999.99999999994</v>
      </c>
      <c r="J75" s="8">
        <f>(2.6*90*10%*50%*190000)*0.0526315789473684</f>
        <v>116999.99999999994</v>
      </c>
      <c r="K75" s="11">
        <f>(2.6*90*10%*50%*190000)*0.0526315789473684</f>
        <v>116999.99999999994</v>
      </c>
      <c r="L75" s="11">
        <f>(2.6*90*10%*50%*190000)*0.0789473684210526</f>
        <v>175499.99999999994</v>
      </c>
      <c r="M75" s="11">
        <f>(2.6*90*10%*50%*190000)*0.131578947368421</f>
        <v>292499.99999999988</v>
      </c>
      <c r="N75" s="11">
        <f>(2.6*90*10%*50%*190000)*0.105263157894737</f>
        <v>234000.00000000035</v>
      </c>
      <c r="O75" s="11">
        <f>(2.6*90*10%*50%*190000)*0.0789473684210526</f>
        <v>175499.99999999994</v>
      </c>
      <c r="P75" s="17">
        <f>(2.6*90*10%*50%*190000)*0.0789473684210526</f>
        <v>175499.99999999994</v>
      </c>
      <c r="Q75" s="7">
        <f t="shared" si="53"/>
        <v>2223000.0000000005</v>
      </c>
      <c r="R75" s="8">
        <f>2223000*(100%-0.36842)</f>
        <v>1404002.34</v>
      </c>
      <c r="S75" s="8">
        <f t="shared" si="6"/>
        <v>818997.66000000038</v>
      </c>
      <c r="T75" s="42" t="s">
        <v>90</v>
      </c>
    </row>
    <row r="76" spans="1:20" x14ac:dyDescent="0.4">
      <c r="A76" s="45"/>
      <c r="B76" s="47"/>
      <c r="C76" s="50"/>
      <c r="D76" s="4" t="s">
        <v>26</v>
      </c>
      <c r="E76" s="8">
        <f>(2.6*90*10%*50%*190000)*0.131578947368421</f>
        <v>292499.99999999988</v>
      </c>
      <c r="F76" s="8">
        <f>(2.6*90*10%*50%*190000)*0.105263157894737</f>
        <v>234000.00000000035</v>
      </c>
      <c r="G76" s="8">
        <f>(2.6*90*10%*50%*190000)*0.0789473684210526</f>
        <v>175499.99999999994</v>
      </c>
      <c r="H76" s="8">
        <f>(2.6*90*10%*50%*190000)*0.0526315789473684</f>
        <v>116999.99999999994</v>
      </c>
      <c r="I76" s="8">
        <f>(2.2*90*10%*50%*190000)*0.0526315789473684</f>
        <v>98999.999999999985</v>
      </c>
      <c r="J76" s="8">
        <f>(2.2*90*10%*50%*190000)*0.0526315789473684</f>
        <v>98999.999999999985</v>
      </c>
      <c r="K76" s="11">
        <f>(2.2*90*10%*50%*190000)*0.0526315789473684</f>
        <v>98999.999999999985</v>
      </c>
      <c r="L76" s="11">
        <f>(2.2*90*10%*50%*190000)*0.0789473684210526</f>
        <v>148499.99999999997</v>
      </c>
      <c r="M76" s="11">
        <f>(2.2*90*10%*50%*190000)*0.131578947368421</f>
        <v>247499.99999999994</v>
      </c>
      <c r="N76" s="11">
        <f>(2.2*90*10%*50%*190000)*0.105263157894737</f>
        <v>198000.00000000035</v>
      </c>
      <c r="O76" s="11">
        <f>(2.2*90*10%*50%*190000)*0.0789473684210526</f>
        <v>148499.99999999997</v>
      </c>
      <c r="P76" s="17">
        <f>(2.2*90*10%*50%*190000)*0.0789473684210526</f>
        <v>148499.99999999997</v>
      </c>
      <c r="Q76" s="7">
        <f t="shared" si="53"/>
        <v>2007000.0000000005</v>
      </c>
      <c r="R76" s="8">
        <f>1881000*(100%-0.36842)</f>
        <v>1188001.98</v>
      </c>
      <c r="S76" s="8">
        <f t="shared" si="6"/>
        <v>818998.02000000048</v>
      </c>
      <c r="T76" s="33"/>
    </row>
    <row r="77" spans="1:20" x14ac:dyDescent="0.4">
      <c r="A77" s="31"/>
      <c r="B77" s="48"/>
      <c r="C77" s="51"/>
      <c r="D77" s="4" t="s">
        <v>27</v>
      </c>
      <c r="E77" s="8">
        <f>E76-E75</f>
        <v>0</v>
      </c>
      <c r="F77" s="8">
        <f t="shared" ref="F77:P77" si="59">F76-F75</f>
        <v>0</v>
      </c>
      <c r="G77" s="8">
        <f t="shared" si="59"/>
        <v>0</v>
      </c>
      <c r="H77" s="8">
        <f t="shared" si="59"/>
        <v>0</v>
      </c>
      <c r="I77" s="8">
        <f t="shared" si="59"/>
        <v>-17999.999999999956</v>
      </c>
      <c r="J77" s="8">
        <f t="shared" si="59"/>
        <v>-17999.999999999956</v>
      </c>
      <c r="K77" s="8">
        <f t="shared" si="59"/>
        <v>-17999.999999999956</v>
      </c>
      <c r="L77" s="8">
        <f t="shared" si="59"/>
        <v>-26999.999999999971</v>
      </c>
      <c r="M77" s="8">
        <f t="shared" si="59"/>
        <v>-44999.999999999942</v>
      </c>
      <c r="N77" s="8">
        <f t="shared" si="59"/>
        <v>-36000</v>
      </c>
      <c r="O77" s="8">
        <f t="shared" si="59"/>
        <v>-26999.999999999971</v>
      </c>
      <c r="P77" s="10">
        <f t="shared" si="59"/>
        <v>-26999.999999999971</v>
      </c>
      <c r="Q77" s="7">
        <f t="shared" si="53"/>
        <v>-215999.99999999971</v>
      </c>
      <c r="R77" s="8"/>
      <c r="S77" s="8"/>
      <c r="T77" s="34"/>
    </row>
    <row r="78" spans="1:20" x14ac:dyDescent="0.4">
      <c r="A78" s="32" t="s">
        <v>78</v>
      </c>
      <c r="B78" s="35" t="s">
        <v>35</v>
      </c>
      <c r="C78" s="36" t="s">
        <v>80</v>
      </c>
      <c r="D78" s="4" t="s">
        <v>24</v>
      </c>
      <c r="E78" s="8">
        <f t="shared" ref="E78:P78" si="60">((4*1*20)+(6*6)+(1*2))*1700*60/12/5</f>
        <v>200600</v>
      </c>
      <c r="F78" s="8">
        <f t="shared" si="60"/>
        <v>200600</v>
      </c>
      <c r="G78" s="8">
        <f t="shared" si="60"/>
        <v>200600</v>
      </c>
      <c r="H78" s="8">
        <f t="shared" si="60"/>
        <v>200600</v>
      </c>
      <c r="I78" s="8">
        <f t="shared" si="60"/>
        <v>200600</v>
      </c>
      <c r="J78" s="8">
        <f t="shared" si="60"/>
        <v>200600</v>
      </c>
      <c r="K78" s="8">
        <f t="shared" si="60"/>
        <v>200600</v>
      </c>
      <c r="L78" s="8">
        <f t="shared" si="60"/>
        <v>200600</v>
      </c>
      <c r="M78" s="8">
        <f t="shared" si="60"/>
        <v>200600</v>
      </c>
      <c r="N78" s="8">
        <f t="shared" si="60"/>
        <v>200600</v>
      </c>
      <c r="O78" s="8">
        <f t="shared" si="60"/>
        <v>200600</v>
      </c>
      <c r="P78" s="6">
        <f t="shared" si="60"/>
        <v>200600</v>
      </c>
      <c r="Q78" s="7">
        <f t="shared" si="53"/>
        <v>2407200</v>
      </c>
      <c r="R78" s="16">
        <f>((3*1*20)+(6*6)+(1*2))*1700*9</f>
        <v>1499400</v>
      </c>
      <c r="S78" s="8">
        <f>Q78-R78</f>
        <v>907800</v>
      </c>
      <c r="T78" s="37" t="s">
        <v>81</v>
      </c>
    </row>
    <row r="79" spans="1:20" ht="19.5" customHeight="1" x14ac:dyDescent="0.4">
      <c r="A79" s="32"/>
      <c r="B79" s="35"/>
      <c r="C79" s="36"/>
      <c r="D79" s="4" t="s">
        <v>26</v>
      </c>
      <c r="E79" s="8">
        <f>((4*1*20)+(6*6)+(1*2))*1700*60/12/5</f>
        <v>200600</v>
      </c>
      <c r="F79" s="8">
        <f>((4*1*20)+(6*6)+(1*2))*1700*60/12/5</f>
        <v>200600</v>
      </c>
      <c r="G79" s="8">
        <f>((4*1*20)+(6*6)+(1*2))*1700*60/12/5</f>
        <v>200600</v>
      </c>
      <c r="H79" s="8">
        <f t="shared" ref="H79:P79" si="61">((3*6)*1700*60+5000000)/12/5</f>
        <v>113933.33333333333</v>
      </c>
      <c r="I79" s="8">
        <f t="shared" si="61"/>
        <v>113933.33333333333</v>
      </c>
      <c r="J79" s="8">
        <f t="shared" si="61"/>
        <v>113933.33333333333</v>
      </c>
      <c r="K79" s="8">
        <f t="shared" si="61"/>
        <v>113933.33333333333</v>
      </c>
      <c r="L79" s="8">
        <f t="shared" si="61"/>
        <v>113933.33333333333</v>
      </c>
      <c r="M79" s="8">
        <f t="shared" si="61"/>
        <v>113933.33333333333</v>
      </c>
      <c r="N79" s="8">
        <f t="shared" si="61"/>
        <v>113933.33333333333</v>
      </c>
      <c r="O79" s="8">
        <f t="shared" si="61"/>
        <v>113933.33333333333</v>
      </c>
      <c r="P79" s="6">
        <f t="shared" si="61"/>
        <v>113933.33333333333</v>
      </c>
      <c r="Q79" s="7">
        <f t="shared" si="53"/>
        <v>1627199.9999999998</v>
      </c>
      <c r="R79" s="16">
        <f>(3*6)*1700*9+1000000/12*9</f>
        <v>1025400</v>
      </c>
      <c r="S79" s="8">
        <f>Q79-R79</f>
        <v>601799.99999999977</v>
      </c>
      <c r="T79" s="38"/>
    </row>
    <row r="80" spans="1:20" ht="19.5" customHeight="1" thickBot="1" x14ac:dyDescent="0.45">
      <c r="A80" s="32"/>
      <c r="B80" s="35"/>
      <c r="C80" s="36"/>
      <c r="D80" s="4" t="s">
        <v>27</v>
      </c>
      <c r="E80" s="8">
        <f>E79-E78</f>
        <v>0</v>
      </c>
      <c r="F80" s="8">
        <f t="shared" ref="F80:P80" si="62">F79-F78</f>
        <v>0</v>
      </c>
      <c r="G80" s="8">
        <f t="shared" si="62"/>
        <v>0</v>
      </c>
      <c r="H80" s="8">
        <f t="shared" si="62"/>
        <v>-86666.666666666672</v>
      </c>
      <c r="I80" s="8">
        <f t="shared" si="62"/>
        <v>-86666.666666666672</v>
      </c>
      <c r="J80" s="8">
        <f t="shared" si="62"/>
        <v>-86666.666666666672</v>
      </c>
      <c r="K80" s="8">
        <f t="shared" si="62"/>
        <v>-86666.666666666672</v>
      </c>
      <c r="L80" s="8">
        <f t="shared" si="62"/>
        <v>-86666.666666666672</v>
      </c>
      <c r="M80" s="8">
        <f t="shared" si="62"/>
        <v>-86666.666666666672</v>
      </c>
      <c r="N80" s="8">
        <f t="shared" si="62"/>
        <v>-86666.666666666672</v>
      </c>
      <c r="O80" s="8">
        <f t="shared" si="62"/>
        <v>-86666.666666666672</v>
      </c>
      <c r="P80" s="10">
        <f t="shared" si="62"/>
        <v>-86666.666666666672</v>
      </c>
      <c r="Q80" s="7">
        <f t="shared" si="53"/>
        <v>-780000</v>
      </c>
      <c r="R80" s="18"/>
      <c r="S80" s="19"/>
      <c r="T80" s="38"/>
    </row>
    <row r="81" spans="1:20" ht="17.25" thickTop="1" x14ac:dyDescent="0.4">
      <c r="A81" s="32" t="s">
        <v>78</v>
      </c>
      <c r="B81" s="35" t="s">
        <v>40</v>
      </c>
      <c r="C81" s="36" t="s">
        <v>82</v>
      </c>
      <c r="D81" s="4" t="s">
        <v>24</v>
      </c>
      <c r="E81" s="8">
        <f t="shared" ref="E81:F82" si="63">370*8400*0.0625</f>
        <v>194250</v>
      </c>
      <c r="F81" s="8">
        <f t="shared" si="63"/>
        <v>194250</v>
      </c>
      <c r="G81" s="8">
        <f>370*8400*0.0625</f>
        <v>194250</v>
      </c>
      <c r="H81" s="8">
        <f>370*8400*0.1</f>
        <v>310800</v>
      </c>
      <c r="I81" s="8">
        <f>370*8400*0.125</f>
        <v>388500</v>
      </c>
      <c r="J81" s="8">
        <f>370*8400*0.075</f>
        <v>233100</v>
      </c>
      <c r="K81" s="11">
        <f>370*8400*0.05</f>
        <v>155400</v>
      </c>
      <c r="L81" s="11">
        <f>370*8400*0.05</f>
        <v>155400</v>
      </c>
      <c r="M81" s="11">
        <f>370*8400*0.125</f>
        <v>388500</v>
      </c>
      <c r="N81" s="11">
        <f>370*8400*0.1</f>
        <v>310800</v>
      </c>
      <c r="O81" s="11">
        <f>370*8400*0.075</f>
        <v>233100</v>
      </c>
      <c r="P81" s="17">
        <f>370*8400*0.1</f>
        <v>310800</v>
      </c>
      <c r="Q81" s="7">
        <f t="shared" si="53"/>
        <v>3069150</v>
      </c>
      <c r="R81" s="8">
        <f>3108000*0.8625</f>
        <v>2680650</v>
      </c>
      <c r="S81" s="8">
        <f t="shared" si="6"/>
        <v>388500</v>
      </c>
      <c r="T81" s="42" t="s">
        <v>91</v>
      </c>
    </row>
    <row r="82" spans="1:20" x14ac:dyDescent="0.4">
      <c r="A82" s="32"/>
      <c r="B82" s="35"/>
      <c r="C82" s="36"/>
      <c r="D82" s="4" t="s">
        <v>26</v>
      </c>
      <c r="E82" s="8">
        <f t="shared" si="63"/>
        <v>194250</v>
      </c>
      <c r="F82" s="8">
        <f t="shared" si="63"/>
        <v>194250</v>
      </c>
      <c r="G82" s="8">
        <f>(370-10)*8400*0.0625</f>
        <v>189000</v>
      </c>
      <c r="H82" s="8">
        <f>(370-10)*8400*0.1</f>
        <v>302400</v>
      </c>
      <c r="I82" s="8">
        <f>(370-10)*8400*0.125</f>
        <v>378000</v>
      </c>
      <c r="J82" s="8">
        <f>(370-10)*8400*0.075</f>
        <v>226800</v>
      </c>
      <c r="K82" s="11">
        <f>(370-10)*8400*0.05</f>
        <v>151200</v>
      </c>
      <c r="L82" s="11">
        <f>(370-10)*8400*0.05</f>
        <v>151200</v>
      </c>
      <c r="M82" s="11">
        <f>(370-10)*8400*0.125</f>
        <v>378000</v>
      </c>
      <c r="N82" s="11">
        <f>(370-10)*8400*0.1</f>
        <v>302400</v>
      </c>
      <c r="O82" s="11">
        <f>(370-10)*8400*0.075</f>
        <v>226800</v>
      </c>
      <c r="P82" s="17">
        <f>(370-10)*8400*0.1</f>
        <v>302400</v>
      </c>
      <c r="Q82" s="7">
        <f>SUM(E82:P82)</f>
        <v>2996700</v>
      </c>
      <c r="R82" s="8">
        <f>3024000*0.8625</f>
        <v>2608200</v>
      </c>
      <c r="S82" s="8">
        <f t="shared" ref="S82:S85" si="64">Q82-R82</f>
        <v>388500</v>
      </c>
      <c r="T82" s="33"/>
    </row>
    <row r="83" spans="1:20" ht="17.25" thickBot="1" x14ac:dyDescent="0.45">
      <c r="A83" s="39"/>
      <c r="B83" s="40"/>
      <c r="C83" s="41"/>
      <c r="D83" s="20" t="s">
        <v>27</v>
      </c>
      <c r="E83" s="19">
        <f>E82-E81</f>
        <v>0</v>
      </c>
      <c r="F83" s="19">
        <f>F82-F81</f>
        <v>0</v>
      </c>
      <c r="G83" s="19">
        <f>G82-G81</f>
        <v>-5250</v>
      </c>
      <c r="H83" s="19">
        <f t="shared" ref="H83:P83" si="65">H82-H81</f>
        <v>-8400</v>
      </c>
      <c r="I83" s="19">
        <f t="shared" si="65"/>
        <v>-10500</v>
      </c>
      <c r="J83" s="19">
        <f t="shared" si="65"/>
        <v>-6300</v>
      </c>
      <c r="K83" s="19">
        <f t="shared" si="65"/>
        <v>-4200</v>
      </c>
      <c r="L83" s="19">
        <f t="shared" si="65"/>
        <v>-4200</v>
      </c>
      <c r="M83" s="19">
        <f t="shared" si="65"/>
        <v>-10500</v>
      </c>
      <c r="N83" s="19">
        <f t="shared" si="65"/>
        <v>-8400</v>
      </c>
      <c r="O83" s="19">
        <f t="shared" si="65"/>
        <v>-6300</v>
      </c>
      <c r="P83" s="21">
        <f t="shared" si="65"/>
        <v>-8400</v>
      </c>
      <c r="Q83" s="22">
        <f>SUM(E83:P83)</f>
        <v>-72450</v>
      </c>
      <c r="R83" s="8"/>
      <c r="S83" s="8"/>
      <c r="T83" s="43"/>
    </row>
    <row r="84" spans="1:20" ht="18.75" customHeight="1" thickTop="1" x14ac:dyDescent="0.4">
      <c r="A84" s="31" t="s">
        <v>83</v>
      </c>
      <c r="B84" s="31"/>
      <c r="C84" s="31"/>
      <c r="D84" s="23" t="s">
        <v>24</v>
      </c>
      <c r="E84" s="24">
        <f>SUMIF($D$3:$D$83,$D84,E3:E83)</f>
        <v>6792816.666666667</v>
      </c>
      <c r="F84" s="24">
        <f t="shared" ref="F84:O84" si="66">SUMIF($D$3:$D$83,$D84,F3:F83)</f>
        <v>7639566.666666666</v>
      </c>
      <c r="G84" s="24">
        <f t="shared" si="66"/>
        <v>6544416.666666666</v>
      </c>
      <c r="H84" s="24">
        <f t="shared" si="66"/>
        <v>7590276.666666666</v>
      </c>
      <c r="I84" s="24">
        <f t="shared" si="66"/>
        <v>6935606.666666666</v>
      </c>
      <c r="J84" s="24">
        <f t="shared" si="66"/>
        <v>7966576.666666667</v>
      </c>
      <c r="K84" s="24">
        <f t="shared" si="66"/>
        <v>6223466.666666666</v>
      </c>
      <c r="L84" s="24">
        <f t="shared" si="66"/>
        <v>7551816.666666666</v>
      </c>
      <c r="M84" s="24">
        <f t="shared" si="66"/>
        <v>7565666.666666666</v>
      </c>
      <c r="N84" s="24">
        <f t="shared" si="66"/>
        <v>7829276.666666666</v>
      </c>
      <c r="O84" s="24">
        <f t="shared" si="66"/>
        <v>6374706.666666666</v>
      </c>
      <c r="P84" s="24">
        <f>SUMIF($D$3:$D$83,$D84,P3:P83)</f>
        <v>8020776.666666666</v>
      </c>
      <c r="Q84" s="25">
        <f>SUM(E84:P84)</f>
        <v>87034970</v>
      </c>
      <c r="R84" s="24">
        <f>SUM(E84:P84)</f>
        <v>87034970</v>
      </c>
      <c r="S84" s="24">
        <f t="shared" si="64"/>
        <v>0</v>
      </c>
      <c r="T84" s="33"/>
    </row>
    <row r="85" spans="1:20" x14ac:dyDescent="0.4">
      <c r="A85" s="32"/>
      <c r="B85" s="32"/>
      <c r="C85" s="32"/>
      <c r="D85" s="4" t="s">
        <v>26</v>
      </c>
      <c r="E85" s="8">
        <f>SUMIF($D$3:$D$83,$D85,E3:E83)</f>
        <v>6427836.666666666</v>
      </c>
      <c r="F85" s="8">
        <f t="shared" ref="F85:O85" si="67">SUMIF($D$3:$D$83,$D85,F3:F83)</f>
        <v>7283181.666666666</v>
      </c>
      <c r="G85" s="8">
        <f t="shared" si="67"/>
        <v>6237579</v>
      </c>
      <c r="H85" s="8">
        <f t="shared" si="67"/>
        <v>6755859.333333333</v>
      </c>
      <c r="I85" s="8">
        <f t="shared" si="67"/>
        <v>5884862.333333333</v>
      </c>
      <c r="J85" s="8">
        <f t="shared" si="67"/>
        <v>6746342.333333333</v>
      </c>
      <c r="K85" s="8">
        <f t="shared" si="67"/>
        <v>7419226.333333333</v>
      </c>
      <c r="L85" s="8">
        <f t="shared" si="67"/>
        <v>6131573.333333333</v>
      </c>
      <c r="M85" s="8">
        <f t="shared" si="67"/>
        <v>5865856.333333333</v>
      </c>
      <c r="N85" s="8">
        <f t="shared" si="67"/>
        <v>6361265.333333334</v>
      </c>
      <c r="O85" s="8">
        <f t="shared" si="67"/>
        <v>4982368.333333333</v>
      </c>
      <c r="P85" s="8">
        <f>SUMIF($D$3:$D$83,$D85,P3:P83)</f>
        <v>6304455.333333334</v>
      </c>
      <c r="Q85" s="7">
        <f>SUM(E85:P85)</f>
        <v>76400406.333333328</v>
      </c>
      <c r="R85" s="8">
        <f t="shared" ref="R85" si="68">SUM(E85:P85)</f>
        <v>76400406.333333328</v>
      </c>
      <c r="S85" s="8">
        <f t="shared" si="64"/>
        <v>0</v>
      </c>
      <c r="T85" s="33"/>
    </row>
    <row r="86" spans="1:20" x14ac:dyDescent="0.4">
      <c r="A86" s="32"/>
      <c r="B86" s="32"/>
      <c r="C86" s="32"/>
      <c r="D86" s="4" t="s">
        <v>27</v>
      </c>
      <c r="E86" s="8">
        <f>E85-E84</f>
        <v>-364980.00000000093</v>
      </c>
      <c r="F86" s="8">
        <f t="shared" ref="F86:O86" si="69">F85-F84</f>
        <v>-356385</v>
      </c>
      <c r="G86" s="8">
        <f t="shared" si="69"/>
        <v>-306837.66666666605</v>
      </c>
      <c r="H86" s="8">
        <f t="shared" si="69"/>
        <v>-834417.33333333302</v>
      </c>
      <c r="I86" s="8">
        <f t="shared" si="69"/>
        <v>-1050744.333333333</v>
      </c>
      <c r="J86" s="8">
        <f t="shared" si="69"/>
        <v>-1220234.333333334</v>
      </c>
      <c r="K86" s="8">
        <f t="shared" si="69"/>
        <v>1195759.666666667</v>
      </c>
      <c r="L86" s="8">
        <f t="shared" si="69"/>
        <v>-1420243.333333333</v>
      </c>
      <c r="M86" s="8">
        <f t="shared" si="69"/>
        <v>-1699810.333333333</v>
      </c>
      <c r="N86" s="8">
        <f t="shared" si="69"/>
        <v>-1468011.3333333321</v>
      </c>
      <c r="O86" s="8">
        <f t="shared" si="69"/>
        <v>-1392338.333333333</v>
      </c>
      <c r="P86" s="8">
        <f>P85-P84</f>
        <v>-1716321.3333333321</v>
      </c>
      <c r="Q86" s="7">
        <f>SUM(E86:P86)</f>
        <v>-10634563.666666664</v>
      </c>
      <c r="R86" s="26"/>
      <c r="S86" s="26"/>
      <c r="T86" s="34"/>
    </row>
  </sheetData>
  <mergeCells count="119">
    <mergeCell ref="R1:R2"/>
    <mergeCell ref="S1:S2"/>
    <mergeCell ref="T1:T2"/>
    <mergeCell ref="A3:A5"/>
    <mergeCell ref="B3:B5"/>
    <mergeCell ref="C3:C5"/>
    <mergeCell ref="T3:T5"/>
    <mergeCell ref="A1:A2"/>
    <mergeCell ref="B1:B2"/>
    <mergeCell ref="C1:C2"/>
    <mergeCell ref="D1:D2"/>
    <mergeCell ref="E1:P1"/>
    <mergeCell ref="Q1:Q2"/>
    <mergeCell ref="A12:A14"/>
    <mergeCell ref="B12:B14"/>
    <mergeCell ref="C12:C14"/>
    <mergeCell ref="T12:T14"/>
    <mergeCell ref="A15:A17"/>
    <mergeCell ref="B15:B17"/>
    <mergeCell ref="C15:C17"/>
    <mergeCell ref="T15:T17"/>
    <mergeCell ref="A6:A8"/>
    <mergeCell ref="B6:B8"/>
    <mergeCell ref="C6:C8"/>
    <mergeCell ref="T6:T8"/>
    <mergeCell ref="A9:A11"/>
    <mergeCell ref="B9:B11"/>
    <mergeCell ref="C9:C11"/>
    <mergeCell ref="T9:T11"/>
    <mergeCell ref="A24:A26"/>
    <mergeCell ref="B24:B26"/>
    <mergeCell ref="C24:C26"/>
    <mergeCell ref="T24:T26"/>
    <mergeCell ref="A27:A29"/>
    <mergeCell ref="B27:B29"/>
    <mergeCell ref="C27:C29"/>
    <mergeCell ref="T27:T29"/>
    <mergeCell ref="A18:A20"/>
    <mergeCell ref="B18:B20"/>
    <mergeCell ref="C18:C20"/>
    <mergeCell ref="T18:T20"/>
    <mergeCell ref="A21:A23"/>
    <mergeCell ref="B21:B23"/>
    <mergeCell ref="C21:C23"/>
    <mergeCell ref="T21:T23"/>
    <mergeCell ref="A36:A38"/>
    <mergeCell ref="B36:B38"/>
    <mergeCell ref="C36:C38"/>
    <mergeCell ref="T36:T38"/>
    <mergeCell ref="A39:A41"/>
    <mergeCell ref="B39:B41"/>
    <mergeCell ref="C39:C41"/>
    <mergeCell ref="T39:T41"/>
    <mergeCell ref="A30:A32"/>
    <mergeCell ref="B30:B32"/>
    <mergeCell ref="C30:C32"/>
    <mergeCell ref="T30:T32"/>
    <mergeCell ref="A33:A35"/>
    <mergeCell ref="B33:B35"/>
    <mergeCell ref="C33:C35"/>
    <mergeCell ref="T33:T35"/>
    <mergeCell ref="A48:A50"/>
    <mergeCell ref="B48:B50"/>
    <mergeCell ref="C48:C50"/>
    <mergeCell ref="T48:T50"/>
    <mergeCell ref="A51:A53"/>
    <mergeCell ref="B51:B53"/>
    <mergeCell ref="C51:C53"/>
    <mergeCell ref="T51:T53"/>
    <mergeCell ref="A42:A44"/>
    <mergeCell ref="B42:B44"/>
    <mergeCell ref="C42:C44"/>
    <mergeCell ref="T42:T44"/>
    <mergeCell ref="A45:A47"/>
    <mergeCell ref="B45:B47"/>
    <mergeCell ref="C45:C47"/>
    <mergeCell ref="T45:T47"/>
    <mergeCell ref="A60:A62"/>
    <mergeCell ref="B60:B62"/>
    <mergeCell ref="C60:C62"/>
    <mergeCell ref="T60:T62"/>
    <mergeCell ref="A63:A65"/>
    <mergeCell ref="B63:B65"/>
    <mergeCell ref="C63:C65"/>
    <mergeCell ref="T63:T65"/>
    <mergeCell ref="A54:A56"/>
    <mergeCell ref="B54:B56"/>
    <mergeCell ref="C54:C56"/>
    <mergeCell ref="T54:T56"/>
    <mergeCell ref="A57:A59"/>
    <mergeCell ref="B57:B59"/>
    <mergeCell ref="C57:C59"/>
    <mergeCell ref="T57:T59"/>
    <mergeCell ref="A72:A74"/>
    <mergeCell ref="B72:B74"/>
    <mergeCell ref="C72:C74"/>
    <mergeCell ref="T72:T74"/>
    <mergeCell ref="A75:A77"/>
    <mergeCell ref="B75:B77"/>
    <mergeCell ref="C75:C77"/>
    <mergeCell ref="T75:T77"/>
    <mergeCell ref="A66:A68"/>
    <mergeCell ref="B66:B68"/>
    <mergeCell ref="C66:C68"/>
    <mergeCell ref="T66:T68"/>
    <mergeCell ref="A69:A71"/>
    <mergeCell ref="B69:B71"/>
    <mergeCell ref="C69:C71"/>
    <mergeCell ref="T69:T71"/>
    <mergeCell ref="A84:C86"/>
    <mergeCell ref="T84:T86"/>
    <mergeCell ref="A78:A80"/>
    <mergeCell ref="B78:B80"/>
    <mergeCell ref="C78:C80"/>
    <mergeCell ref="T78:T80"/>
    <mergeCell ref="A81:A83"/>
    <mergeCell ref="B81:B83"/>
    <mergeCell ref="C81:C83"/>
    <mergeCell ref="T81:T83"/>
  </mergeCells>
  <phoneticPr fontId="3"/>
  <conditionalFormatting sqref="D3:Q86">
    <cfRule type="expression" dxfId="0" priority="1" stopIfTrue="1">
      <formula>$D3="削減額"</formula>
    </cfRule>
  </conditionalFormatting>
  <pageMargins left="0.25" right="0.25" top="0.75" bottom="0.75" header="0.3" footer="0.3"/>
  <pageSetup paperSize="8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コスト削減計画表</vt:lpstr>
      <vt:lpstr>作成例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officeuser09</dc:creator>
  <cp:lastModifiedBy>officeuser09</cp:lastModifiedBy>
  <dcterms:created xsi:type="dcterms:W3CDTF">2024-10-23T07:44:51Z</dcterms:created>
  <dcterms:modified xsi:type="dcterms:W3CDTF">2024-10-26T11:59:04Z</dcterms:modified>
</cp:coreProperties>
</file>